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pras\Desktop\PARTIDAS\"/>
    </mc:Choice>
  </mc:AlternateContent>
  <bookViews>
    <workbookView xWindow="0" yWindow="0" windowWidth="20490" windowHeight="7755"/>
  </bookViews>
  <sheets>
    <sheet name="VILLA MELLA " sheetId="1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1" i="15" l="1"/>
  <c r="C150" i="15"/>
  <c r="C148" i="15"/>
  <c r="A148" i="15"/>
  <c r="A149" i="15" s="1"/>
  <c r="A150" i="15" s="1"/>
  <c r="A151" i="15" s="1"/>
  <c r="C144" i="15"/>
  <c r="C143" i="15"/>
  <c r="C141" i="15"/>
  <c r="A141" i="15"/>
  <c r="A142" i="15" s="1"/>
  <c r="A143" i="15" s="1"/>
  <c r="A144" i="15" s="1"/>
  <c r="C138" i="15"/>
  <c r="C137" i="15"/>
  <c r="A136" i="15"/>
  <c r="A137" i="15" s="1"/>
  <c r="A138" i="15" s="1"/>
  <c r="C135" i="15"/>
  <c r="C105" i="15"/>
  <c r="C104" i="15"/>
  <c r="C102" i="15"/>
  <c r="A102" i="15"/>
  <c r="A103" i="15" s="1"/>
  <c r="A104" i="15" s="1"/>
  <c r="A105" i="15" s="1"/>
  <c r="C99" i="15"/>
  <c r="C98" i="15"/>
  <c r="C96" i="15"/>
  <c r="A96" i="15"/>
  <c r="A97" i="15" s="1"/>
  <c r="A98" i="15" s="1"/>
  <c r="A99" i="15" s="1"/>
  <c r="C67" i="15"/>
  <c r="C66" i="15"/>
  <c r="C64" i="15"/>
  <c r="A64" i="15"/>
  <c r="A65" i="15" s="1"/>
  <c r="A66" i="15" s="1"/>
  <c r="A67" i="15" s="1"/>
  <c r="C61" i="15"/>
  <c r="C60" i="15"/>
  <c r="C58" i="15"/>
  <c r="A58" i="15"/>
  <c r="A59" i="15" s="1"/>
  <c r="A60" i="15" s="1"/>
  <c r="A61" i="15" s="1"/>
  <c r="C55" i="15"/>
  <c r="C54" i="15"/>
  <c r="C52" i="15"/>
  <c r="C53" i="15" s="1"/>
  <c r="A52" i="15"/>
  <c r="A53" i="15" s="1"/>
  <c r="A54" i="15" s="1"/>
  <c r="A55" i="15" s="1"/>
  <c r="C47" i="15"/>
  <c r="C46" i="15"/>
  <c r="C44" i="15"/>
  <c r="C45" i="15" s="1"/>
  <c r="A44" i="15"/>
  <c r="A45" i="15" s="1"/>
  <c r="A46" i="15" s="1"/>
  <c r="A47" i="15" s="1"/>
  <c r="A48" i="15" s="1"/>
  <c r="C41" i="15"/>
  <c r="C40" i="15"/>
  <c r="C38" i="15"/>
  <c r="A38" i="15"/>
  <c r="A39" i="15" s="1"/>
  <c r="A40" i="15" s="1"/>
  <c r="A41" i="15" s="1"/>
  <c r="C35" i="15"/>
  <c r="C34" i="15"/>
  <c r="C32" i="15"/>
  <c r="A32" i="15"/>
  <c r="A33" i="15" s="1"/>
  <c r="A34" i="15" s="1"/>
  <c r="A35" i="15" s="1"/>
  <c r="C28" i="15"/>
  <c r="C27" i="15"/>
  <c r="C25" i="15"/>
  <c r="A25" i="15"/>
  <c r="A26" i="15" s="1"/>
  <c r="A27" i="15" s="1"/>
  <c r="A28" i="15" s="1"/>
  <c r="A29" i="15" s="1"/>
  <c r="C22" i="15"/>
  <c r="C21" i="15"/>
  <c r="C19" i="15"/>
  <c r="A19" i="15"/>
  <c r="A20" i="15" s="1"/>
  <c r="A21" i="15" s="1"/>
  <c r="A22" i="15" s="1"/>
  <c r="C16" i="15"/>
  <c r="C15" i="15"/>
  <c r="C13" i="15"/>
  <c r="A13" i="15"/>
  <c r="A14" i="15" s="1"/>
  <c r="A15" i="15" s="1"/>
  <c r="A16" i="15" s="1"/>
  <c r="C149" i="15" l="1"/>
  <c r="C142" i="15"/>
  <c r="C136" i="15"/>
  <c r="C26" i="15"/>
  <c r="C39" i="15"/>
  <c r="C103" i="15"/>
  <c r="C97" i="15"/>
  <c r="C20" i="15"/>
  <c r="C33" i="15"/>
  <c r="C65" i="15"/>
  <c r="C14" i="15"/>
  <c r="C59" i="15"/>
  <c r="C168" i="15" l="1"/>
  <c r="C170" i="15"/>
  <c r="C171" i="15"/>
  <c r="A168" i="15"/>
  <c r="A169" i="15" s="1"/>
  <c r="A170" i="15" s="1"/>
  <c r="A171" i="15" s="1"/>
  <c r="C162" i="15"/>
  <c r="C163" i="15" s="1"/>
  <c r="C164" i="15"/>
  <c r="C165" i="15"/>
  <c r="A162" i="15"/>
  <c r="A163" i="15" s="1"/>
  <c r="A164" i="15" s="1"/>
  <c r="A165" i="15" s="1"/>
  <c r="C156" i="15"/>
  <c r="C157" i="15" s="1"/>
  <c r="C158" i="15"/>
  <c r="C159" i="15"/>
  <c r="A156" i="15"/>
  <c r="A157" i="15" s="1"/>
  <c r="A158" i="15" s="1"/>
  <c r="A159" i="15" s="1"/>
  <c r="C128" i="15"/>
  <c r="C130" i="15"/>
  <c r="C131" i="15"/>
  <c r="A128" i="15"/>
  <c r="A129" i="15" s="1"/>
  <c r="A130" i="15" s="1"/>
  <c r="A131" i="15" s="1"/>
  <c r="C121" i="15"/>
  <c r="C123" i="15"/>
  <c r="C124" i="15"/>
  <c r="A121" i="15"/>
  <c r="A122" i="15" s="1"/>
  <c r="A123" i="15" s="1"/>
  <c r="A124" i="15" s="1"/>
  <c r="C115" i="15"/>
  <c r="C116" i="15" s="1"/>
  <c r="C117" i="15"/>
  <c r="C118" i="15"/>
  <c r="A115" i="15"/>
  <c r="A116" i="15" s="1"/>
  <c r="A117" i="15" s="1"/>
  <c r="A118" i="15" s="1"/>
  <c r="C109" i="15"/>
  <c r="C110" i="15" s="1"/>
  <c r="C111" i="15"/>
  <c r="C112" i="15"/>
  <c r="A109" i="15"/>
  <c r="A110" i="15" s="1"/>
  <c r="A111" i="15" s="1"/>
  <c r="A112" i="15" s="1"/>
  <c r="C72" i="15"/>
  <c r="C73" i="15"/>
  <c r="C74" i="15" s="1"/>
  <c r="C75" i="15"/>
  <c r="C76" i="15"/>
  <c r="C80" i="15"/>
  <c r="C83" i="15"/>
  <c r="C85" i="15"/>
  <c r="C86" i="15"/>
  <c r="C89" i="15"/>
  <c r="C91" i="15"/>
  <c r="C92" i="15"/>
  <c r="A89" i="15"/>
  <c r="A90" i="15" s="1"/>
  <c r="A91" i="15" s="1"/>
  <c r="A92" i="15" s="1"/>
  <c r="A83" i="15"/>
  <c r="A84" i="15" s="1"/>
  <c r="A85" i="15" s="1"/>
  <c r="A86" i="15" s="1"/>
  <c r="A71" i="15"/>
  <c r="A72" i="15" s="1"/>
  <c r="A73" i="15" s="1"/>
  <c r="A74" i="15" s="1"/>
  <c r="A75" i="15" s="1"/>
  <c r="A76" i="15" s="1"/>
  <c r="A77" i="15" s="1"/>
  <c r="A78" i="15" s="1"/>
  <c r="A79" i="15" s="1"/>
  <c r="A80" i="15" s="1"/>
  <c r="C169" i="15" l="1"/>
  <c r="C122" i="15"/>
  <c r="C129" i="15"/>
  <c r="C90" i="15"/>
  <c r="C78" i="15"/>
  <c r="C79" i="15"/>
  <c r="C77" i="15"/>
  <c r="C84" i="15"/>
</calcChain>
</file>

<file path=xl/sharedStrings.xml><?xml version="1.0" encoding="utf-8"?>
<sst xmlns="http://schemas.openxmlformats.org/spreadsheetml/2006/main" count="289" uniqueCount="159">
  <si>
    <t>NO.</t>
  </si>
  <si>
    <t>DETALLE</t>
  </si>
  <si>
    <t>CANT.</t>
  </si>
  <si>
    <t>UNID.</t>
  </si>
  <si>
    <t>P.U.</t>
  </si>
  <si>
    <t>SUB-TOTAL</t>
  </si>
  <si>
    <t>TOTAL</t>
  </si>
  <si>
    <t xml:space="preserve">SUB-TOTAL GENERAL </t>
  </si>
  <si>
    <t>GASTOS INDIRECTOS</t>
  </si>
  <si>
    <t>1.-</t>
  </si>
  <si>
    <t>2.-</t>
  </si>
  <si>
    <t>3.-</t>
  </si>
  <si>
    <t>4.-</t>
  </si>
  <si>
    <t>5.-</t>
  </si>
  <si>
    <t>6.-</t>
  </si>
  <si>
    <t>7,-</t>
  </si>
  <si>
    <t>8,-</t>
  </si>
  <si>
    <t>9,-</t>
  </si>
  <si>
    <t>SUB-TOTAL INDIRECTOS</t>
  </si>
  <si>
    <t xml:space="preserve">TOTAL  GENERAL </t>
  </si>
  <si>
    <t xml:space="preserve">Limpieza en General </t>
  </si>
  <si>
    <t xml:space="preserve">Seguro y Fianza </t>
  </si>
  <si>
    <t>Gastos Administrativos</t>
  </si>
  <si>
    <t>Transporte</t>
  </si>
  <si>
    <t xml:space="preserve">Direccion Tecnico </t>
  </si>
  <si>
    <t xml:space="preserve">Supervicion </t>
  </si>
  <si>
    <t>Ley 686</t>
  </si>
  <si>
    <t>Codia</t>
  </si>
  <si>
    <t xml:space="preserve">Imprevisto </t>
  </si>
  <si>
    <t>Itbis (Direccion Tecnica)</t>
  </si>
  <si>
    <t>A</t>
  </si>
  <si>
    <t>P.A.</t>
  </si>
  <si>
    <t>CONSTRUCCION DE BADENES</t>
  </si>
  <si>
    <t>M3</t>
  </si>
  <si>
    <t>Bote de Material inservible e=20%</t>
  </si>
  <si>
    <t>CALLE PRIMERA ESQ. CALLE 12 (Long=8.00m; Ancho Promedio=2.00m)</t>
  </si>
  <si>
    <t>Excavacion con compresor (8.00x2.00x0.60) mts</t>
  </si>
  <si>
    <t>Hormigon Ciclopeo (8.00x2.00x0.35)m</t>
  </si>
  <si>
    <t>Hormigon en Losa f´c=210kg/cm2 con AceroØ1/2@0.20mts (8.00x2.00x0.25)m</t>
  </si>
  <si>
    <t>CALLE 14 ESQ. CALLE 5 (Long=11.00m; Ancho Promedio=3.00m)</t>
  </si>
  <si>
    <t>Excavacion con compresor (11.00x3.00x0.60) mts</t>
  </si>
  <si>
    <t>Hormigon Ciclopeo (11.00x3.00x0.35)m</t>
  </si>
  <si>
    <t>Hormigon en Losa f´c=210kg/cm2 con AceroØ1/2@0.20mts (11.00x3.00x0.25)m</t>
  </si>
  <si>
    <t>CALLE PRIMERA ESQ. CALLE 2 (Long=10.00m; Ancho Promedio=2.00m)</t>
  </si>
  <si>
    <t>Excavacion con compresor (10.00x2.00x0.60) mts</t>
  </si>
  <si>
    <t>Hormigon Ciclopeo (10.00x2.00x0.35)m</t>
  </si>
  <si>
    <t>Hormigon en Losa f´c=210kg/cm2 con AceroØ1/2@0.20mts (10.00x2.00x0.25)m</t>
  </si>
  <si>
    <t>m3</t>
  </si>
  <si>
    <t>Bote de Material Inservible e=20%</t>
  </si>
  <si>
    <t>B</t>
  </si>
  <si>
    <t>PRESUPUESTO: CONSTRUCCION DE BADENES DIFERENTE SECTORES DE VILLA MELLA</t>
  </si>
  <si>
    <t>FECHA: 28 DE ENERO DEL 2021</t>
  </si>
  <si>
    <t>SECTOR BUENA VISTA II</t>
  </si>
  <si>
    <t>CALLE LOS COCOS ESQ. CASI ESQ. CALLE 6</t>
  </si>
  <si>
    <t>Demolicion de contenes en mal estado</t>
  </si>
  <si>
    <t>ml</t>
  </si>
  <si>
    <t>Demolicion de Aceras en mal estado</t>
  </si>
  <si>
    <t>m2</t>
  </si>
  <si>
    <t xml:space="preserve">Replanteo de Contenes </t>
  </si>
  <si>
    <t>Excavacion de Contenes a mano (59.50x0.50x0.20)mts</t>
  </si>
  <si>
    <t>Excavacion de Acera a mano (59.50x0.90x0.10)mts</t>
  </si>
  <si>
    <t>Relleno de Material Clasificado (Caliche) debajo de Acera, Regado, Nivelado y Compactado e=0.20mts</t>
  </si>
  <si>
    <t>Telford para Contenes (59.50x0.50x0.20)mts</t>
  </si>
  <si>
    <t>Bote de Material Inservible producto de la Excavacion e=20%</t>
  </si>
  <si>
    <t>Conten Pulido h=0.30m - Hormigon 210kg/cm2 b=0.50 h=0.30m - sección 0.14m2</t>
  </si>
  <si>
    <t>Acera en Hormigon Violinada e=0.10m ; Hormigon 210kg/cm2;  (90.60x1.00x0.10)mts</t>
  </si>
  <si>
    <t>CALLE 6 ESQ. CALLE PASEO LOS COCOS(Long=11.50m; Ancho Promedio=2.00m)</t>
  </si>
  <si>
    <t>Excavacion con compresor (11.50x2.00x0.60) mts</t>
  </si>
  <si>
    <t>Hormigon Ciclopeo (11.50x2.00x0.35)m</t>
  </si>
  <si>
    <t>Hormigon en Losa f´c=210kg/cm2 con AceroØ1/2@0.20mts (11.50x2.00x0.25)m</t>
  </si>
  <si>
    <t>CALLE 10 ESQ. CALLE PASEO LOS COCOS (Long=11.80m; Ancho Promedio=2.00m)</t>
  </si>
  <si>
    <t>Excavacion con compresor (11.80x2.00x0.60) mts</t>
  </si>
  <si>
    <t>Hormigon Ciclopeo (11.80x2.00x0.35)m</t>
  </si>
  <si>
    <t>Hormigon en Losa f´c=210kg/cm2 con AceroØ1/2@0.20mts (11.80x2.00x0.25)m</t>
  </si>
  <si>
    <t>SECTOR BUENA VISTA I</t>
  </si>
  <si>
    <t>SECTOR SOL DE LUZ</t>
  </si>
  <si>
    <t>CALLE  SATURNO AL FRENTE DE FRITURA MERAN (Long=6.40m; Ancho Promedio=3.00m)</t>
  </si>
  <si>
    <t>Excavacion con compresor (6.40x3.00x0.60) mts</t>
  </si>
  <si>
    <t>Hormigon Ciclopeo (6.40x3.00x0.35)m</t>
  </si>
  <si>
    <t>Hormigon en Losa f´c=210kg/cm2 con AceroØ1/2@0.20mts (6.40x3.00x0.25)m</t>
  </si>
  <si>
    <t>CALLE SATRURNO  ESQ. CALLE JUPITER (Long=5.40m; Ancho Promedio=2.00m)</t>
  </si>
  <si>
    <t>Excavacion con compresor (5.40x2.00x0.60) mts</t>
  </si>
  <si>
    <t>Hormigon Ciclopeo (5.40x2.00x0.35)m</t>
  </si>
  <si>
    <t>Hormigon en Losa f´c=210kg/cm2 con AceroØ1/2@0.20mts (5.40x2.00x0.25)m</t>
  </si>
  <si>
    <t>CALLE JUPITER  ESQ. CALLE SATURNO (Long=7.60m; Ancho Promedio=2.00m)</t>
  </si>
  <si>
    <t>Excavacion con compresor (7.60x2.00x0.60) mts</t>
  </si>
  <si>
    <t>Hormigon Ciclopeo (7.60x2.00x0.35)m</t>
  </si>
  <si>
    <t>Hormigon en Losa f´c=210kg/cm2 con AceroØ1/2@0.20mts (7.60x2.00x0.25)m</t>
  </si>
  <si>
    <t>AVE. HERMANA MIRABAL ESQ. SANTA LUCIA (Long=10.00m; Ancho Promedio=3.00m)</t>
  </si>
  <si>
    <t>Excavacion con compresor (10.00x3.00x0.60) mts</t>
  </si>
  <si>
    <t>Hormigon Ciclopeo (10.00x3.00x0.35)m</t>
  </si>
  <si>
    <t>Hormigon en Losa f´c=210kg/cm2 con AceroØ1/2@0.20mts (10.00x3.00x0.25)m</t>
  </si>
  <si>
    <t xml:space="preserve">AVE. HERMANA MIRABAL </t>
  </si>
  <si>
    <t>CALLE 13 ESQ. CALLE L (Long=8.00m; Ancho Promedio=3.00m)</t>
  </si>
  <si>
    <t>Excavacion con compresor (8.00x3.00x0.60) mts</t>
  </si>
  <si>
    <t>Hormigon Ciclopeo (8.00x3.00x0.35)m</t>
  </si>
  <si>
    <t>Hormigon en Losa f´c=210kg/cm2 con AceroØ1/2@0.20mts (8.00x3.00x0.25)m</t>
  </si>
  <si>
    <t>CALLE 14 ESQ. CALLE L (Long=9.50m; Ancho Promedio=3.00m)</t>
  </si>
  <si>
    <t>Excavacion con compresor (9.50x3.00x0.60) mts</t>
  </si>
  <si>
    <t>Hormigon Ciclopeo (9.50x3.00x0.35)m</t>
  </si>
  <si>
    <t>Hormigon en Losa f´c=210kg/cm2 con AceroØ1/2@0.20mts (9.50x3.00x0.25)m</t>
  </si>
  <si>
    <t>CALLE 14 ESQ. CALLE L (Long=8.00m; Ancho Promedio=3.00m)</t>
  </si>
  <si>
    <t>SECTOR VISTA BELLA</t>
  </si>
  <si>
    <t>CALLE JOSE FRANCISCO BRAZOBAN ESQ. CALLE PRIMERA (Long=10.00m; Ancho Promedio=3.00m)</t>
  </si>
  <si>
    <t>SECTOR CASA VIEJA</t>
  </si>
  <si>
    <t>CALLE 25 ESQ. CALLE RESPALDO 26 (Long=8.00m; Ancho Promedio=2.00m)</t>
  </si>
  <si>
    <t>SECTOR CARLOS ALVAREZ</t>
  </si>
  <si>
    <t>Excavacion con compresor (7.00x4.80x0.60) mts</t>
  </si>
  <si>
    <t>Hormigon Ciclopeo (7.00x4.80x0.35)m</t>
  </si>
  <si>
    <t>Hormigon en Losa f´c=210kg/cm2 con AceroØ1/2@0.20mts (7.00x4.80x0.25)m</t>
  </si>
  <si>
    <t>CALLE 25 FRENTE AL SOLAR  (Long=7.00m; Ancho Promedio=4.80m)</t>
  </si>
  <si>
    <t xml:space="preserve">                                    Preparado por:                                                                                                              </t>
  </si>
  <si>
    <t xml:space="preserve"> Revisado por:</t>
  </si>
  <si>
    <t>ING. LORENZO RONDON AREA</t>
  </si>
  <si>
    <t xml:space="preserve">                             Unidad de Presupuesto                                          </t>
  </si>
  <si>
    <t xml:space="preserve">       Encargado de Estudio y Proyectos                    </t>
  </si>
  <si>
    <t>Aprobado por:</t>
  </si>
  <si>
    <t>Director Obras Publicas Municipales</t>
  </si>
  <si>
    <t>UBICACIÓN: VILLA MELLA, SANTO DOMINGO NORTE</t>
  </si>
  <si>
    <t>SECTOR MAXIMO GOMEZ</t>
  </si>
  <si>
    <t xml:space="preserve">Calle Carlos Manuel Cespedes Esq. Felix Marcano (frente colmado El Golpe) - Long=14.00mts; Ancho=4.00mts </t>
  </si>
  <si>
    <t>Excavación con compresor (14.00x4.00x0.60) mts</t>
  </si>
  <si>
    <t>Hormigón Ciclópeo (14.00x4.00x0.35)m 60% piedra+40%Hormigón</t>
  </si>
  <si>
    <t>Hormigón en Losa f´c=210kg/cm2 con Ø1/2@0.20mts (14.00x4.00x0.25)m</t>
  </si>
  <si>
    <t xml:space="preserve">Calle Antonio Maceo Esq. Lorenzo Depradel al lado Colmado Elizabeth - Long=10.00mts; Ancho=2.00mts </t>
  </si>
  <si>
    <t>Excavación con compresor (10.00x2.00x0.60) mts</t>
  </si>
  <si>
    <t>Hormigón Ciclópeo (10.00x2.00x0.35)m 60% piedra+40%Hormigón</t>
  </si>
  <si>
    <t>Hormigón en Losa f´c=210kg/cm2 con Ø1/2@0.20mts (10.00x2.00x0.25)m</t>
  </si>
  <si>
    <t>DIRECCIÓN GENERAL DE OBRAS                                                                                                PÚBLICAS MUNICIPALES</t>
  </si>
  <si>
    <t>CALLE PRIMERA ESQ. CALLE HEREDIA (Long=9.00m; Ancho Promedio=2.00m)</t>
  </si>
  <si>
    <t>Excavación con compresor (9.00x2.00x0.60) mts</t>
  </si>
  <si>
    <t>Hormigón Ciclópeo (9.00x2.00x0.35)m</t>
  </si>
  <si>
    <t>Hormigón en Losa f´c=210kg/cm2 con AceroØ1/2@0.20mts (6.00x1.50x0.25)m</t>
  </si>
  <si>
    <t>CALLE #6, AL LADO DEL PICA POLLO EL BUEN SAZÓN (Long=6.50m; Ancho Promedio=1.50m)</t>
  </si>
  <si>
    <t>Excavación con compresor (6.50x1.50x0.60) mts</t>
  </si>
  <si>
    <t>Hormigón Ciclópeo (6.50x1.50x0.35)m</t>
  </si>
  <si>
    <t>Hormigón en Losa f´c=210kg/cm2 con AceroØ1/2@0.20mts (6.50x1.50x0.25)m</t>
  </si>
  <si>
    <t>CALLE PRIMERA ESQ. LOS MARTINEZ  AL FRENTE DE LA BANCA LA PRIMERA LOTECA (Long=6.00m; Ancho Promedio=2.00m)</t>
  </si>
  <si>
    <t>Excavación con compresor (6.00x2.00x0.60) mts</t>
  </si>
  <si>
    <t>Hormigón Ciclópeo (6.00x2.00x0.35)m</t>
  </si>
  <si>
    <t>Hormigón en Losa f´c=210kg/cm2 con AceroØ1/2@0.20mts (6.00x2.00x0.25)m</t>
  </si>
  <si>
    <t>Demolición y Construcción de Contén Pulido h=0.30m - Hormigón 210kg/cm2 b=0.50m, h=0.30m, sección 0.14m2</t>
  </si>
  <si>
    <t>ML</t>
  </si>
  <si>
    <t>CALLE PRIMERA ESQ. CONSTANZA, AL LADO DEL COLMADO BAKERO (Long=7.50m; Ancho Promedio=1.50m)</t>
  </si>
  <si>
    <t>Excavación con compresor (7.50x1.50x0.60) mts</t>
  </si>
  <si>
    <t>Hormigón Ciclópeo (7.50x1.50x0.35)m</t>
  </si>
  <si>
    <t>Hormigón en Losa f´c=210kg/cm2 con AceroØ1/2@0.20mts (7.50x1.50x0.25)m</t>
  </si>
  <si>
    <t>CALLE PRIMERA ESQ. GLENIS SALÓN (Long=5.50m; Ancho Promedio=2.00m)</t>
  </si>
  <si>
    <t>Excavación con compresor (5.50x2.00x0.60) mts</t>
  </si>
  <si>
    <t>Hormigón Ciclópeo (5.50x2.00x0.35)m</t>
  </si>
  <si>
    <t>Hormigón en Losa f´c=210kg/cm2 con AceroØ1/2@0.20mts (5.50x2.00x0.25)m</t>
  </si>
  <si>
    <t>CALLE PRIMERA AL LADO DEL POZO DE LA CAASD Y CENTRO COMUNAL (Long=10.00m; Ancho Promedio=3.00m)</t>
  </si>
  <si>
    <t>Excavación con compresor (10.00x3.00x0.60) mts</t>
  </si>
  <si>
    <t>Hormigón Ciclópeo (10.00x3.00x0.35)m</t>
  </si>
  <si>
    <t>Hormigón en Losa f´c=210kg/cm2 con AceroØ1/2@0.20mts (10.00x3.00x0.25)m</t>
  </si>
  <si>
    <r>
      <t xml:space="preserve">         </t>
    </r>
    <r>
      <rPr>
        <b/>
        <u/>
        <sz val="14"/>
        <color theme="1"/>
        <rFont val="Times New Roman"/>
        <family val="1"/>
      </rPr>
      <t xml:space="preserve">ING. JOHAN ALBERTO RODRIGUEZ </t>
    </r>
  </si>
  <si>
    <r>
      <rPr>
        <b/>
        <u/>
        <sz val="14"/>
        <color theme="1"/>
        <rFont val="Times New Roman"/>
        <family val="1"/>
      </rPr>
      <t>ING. CRESENCIO PAREDES POLANCO</t>
    </r>
    <r>
      <rPr>
        <b/>
        <sz val="14"/>
        <color theme="1"/>
        <rFont val="Times New Roman"/>
        <family val="1"/>
      </rPr>
      <t xml:space="preserve"> </t>
    </r>
  </si>
  <si>
    <t>PRESUPESTO NO. 31</t>
  </si>
  <si>
    <t>LIMPIEZA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</si>
</sst>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#,##0.0"/>
  </numFmts>
  <fonts count="19" x14ac:knownFonts="1">
    <font>
      <sz val="11"/>
      <color theme="1"/>
      <name val="Calibri"/>
      <family val="2"/>
      <scheme val="minor"/>
    </font>
    <font>
      <sz val="16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sz val="16"/>
      <color theme="1"/>
      <name val="Times New Roman"/>
      <family val="1"/>
    </font>
    <font>
      <b/>
      <sz val="16"/>
      <name val="Times New Roman"/>
      <family val="1"/>
    </font>
    <font>
      <b/>
      <sz val="20"/>
      <name val="Times New Roman"/>
      <family val="1"/>
    </font>
    <font>
      <sz val="10"/>
      <name val="Times New Roman"/>
      <family val="1"/>
    </font>
    <font>
      <sz val="20"/>
      <name val="Times New Roman"/>
      <family val="1"/>
    </font>
    <font>
      <b/>
      <sz val="26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  <font>
      <sz val="14"/>
      <color theme="1"/>
      <name val="Arial Narrow"/>
      <family val="2"/>
    </font>
    <font>
      <b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sz val="20"/>
      <color rgb="FF0070C0"/>
      <name val="Times New Roman"/>
      <family val="1"/>
    </font>
    <font>
      <sz val="20"/>
      <color rgb="FF0070C0"/>
      <name val="Times New Roman"/>
      <family val="1"/>
    </font>
    <font>
      <b/>
      <sz val="1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Fill="1" applyBorder="1" applyAlignment="1">
      <alignment horizontal="right"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right" vertical="center"/>
    </xf>
    <xf numFmtId="4" fontId="11" fillId="0" borderId="14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4" fontId="11" fillId="0" borderId="5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right" vertical="center"/>
    </xf>
    <xf numFmtId="4" fontId="10" fillId="0" borderId="9" xfId="0" applyNumberFormat="1" applyFont="1" applyFill="1" applyBorder="1" applyAlignment="1">
      <alignment horizontal="right" vertical="center"/>
    </xf>
    <xf numFmtId="0" fontId="12" fillId="0" borderId="8" xfId="0" applyFont="1" applyBorder="1"/>
    <xf numFmtId="0" fontId="12" fillId="0" borderId="0" xfId="0" applyFont="1" applyBorder="1" applyAlignment="1">
      <alignment vertical="center"/>
    </xf>
    <xf numFmtId="0" fontId="12" fillId="0" borderId="0" xfId="0" applyFont="1" applyBorder="1"/>
    <xf numFmtId="4" fontId="10" fillId="0" borderId="10" xfId="0" applyNumberFormat="1" applyFont="1" applyFill="1" applyBorder="1" applyAlignment="1">
      <alignment horizontal="right" vertical="center"/>
    </xf>
    <xf numFmtId="4" fontId="10" fillId="0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 wrapText="1"/>
    </xf>
    <xf numFmtId="4" fontId="10" fillId="2" borderId="4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left" vertical="center" wrapText="1"/>
    </xf>
    <xf numFmtId="165" fontId="10" fillId="0" borderId="8" xfId="0" applyNumberFormat="1" applyFont="1" applyFill="1" applyBorder="1" applyAlignment="1">
      <alignment horizontal="center" vertical="center"/>
    </xf>
    <xf numFmtId="165" fontId="11" fillId="0" borderId="8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2" fontId="11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right" vertical="center"/>
    </xf>
    <xf numFmtId="2" fontId="10" fillId="0" borderId="8" xfId="0" applyNumberFormat="1" applyFont="1" applyFill="1" applyBorder="1" applyAlignment="1">
      <alignment horizontal="right" vertical="center"/>
    </xf>
    <xf numFmtId="2" fontId="10" fillId="0" borderId="0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vertical="center"/>
    </xf>
    <xf numFmtId="4" fontId="11" fillId="0" borderId="9" xfId="0" applyNumberFormat="1" applyFont="1" applyFill="1" applyBorder="1" applyAlignment="1">
      <alignment horizontal="right" vertical="center"/>
    </xf>
    <xf numFmtId="10" fontId="11" fillId="0" borderId="0" xfId="0" applyNumberFormat="1" applyFont="1" applyFill="1" applyBorder="1" applyAlignment="1">
      <alignment horizontal="center" vertical="center"/>
    </xf>
    <xf numFmtId="4" fontId="10" fillId="0" borderId="0" xfId="0" applyNumberFormat="1" applyFont="1" applyFill="1" applyBorder="1" applyAlignment="1">
      <alignment horizontal="center" vertical="center"/>
    </xf>
    <xf numFmtId="4" fontId="10" fillId="0" borderId="0" xfId="0" applyNumberFormat="1" applyFont="1" applyFill="1" applyBorder="1" applyAlignment="1">
      <alignment vertical="center"/>
    </xf>
    <xf numFmtId="0" fontId="12" fillId="0" borderId="9" xfId="0" applyFont="1" applyBorder="1"/>
    <xf numFmtId="0" fontId="12" fillId="0" borderId="8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9" xfId="0" applyFont="1" applyFill="1" applyBorder="1" applyAlignment="1">
      <alignment vertical="center"/>
    </xf>
    <xf numFmtId="0" fontId="13" fillId="0" borderId="8" xfId="0" applyFont="1" applyFill="1" applyBorder="1"/>
    <xf numFmtId="0" fontId="12" fillId="0" borderId="0" xfId="0" applyFont="1" applyFill="1" applyBorder="1"/>
    <xf numFmtId="4" fontId="12" fillId="0" borderId="9" xfId="0" applyNumberFormat="1" applyFont="1" applyFill="1" applyBorder="1" applyAlignment="1">
      <alignment horizontal="right" vertical="center"/>
    </xf>
    <xf numFmtId="0" fontId="12" fillId="0" borderId="9" xfId="0" applyFont="1" applyFill="1" applyBorder="1"/>
    <xf numFmtId="0" fontId="13" fillId="0" borderId="0" xfId="0" applyFont="1" applyFill="1" applyBorder="1"/>
    <xf numFmtId="0" fontId="12" fillId="0" borderId="0" xfId="0" applyFont="1"/>
    <xf numFmtId="0" fontId="10" fillId="2" borderId="5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/>
    </xf>
    <xf numFmtId="165" fontId="10" fillId="3" borderId="4" xfId="0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4" fontId="10" fillId="3" borderId="4" xfId="0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right" vertical="center"/>
    </xf>
    <xf numFmtId="4" fontId="11" fillId="2" borderId="14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left" vertical="center" wrapText="1"/>
    </xf>
    <xf numFmtId="4" fontId="11" fillId="2" borderId="5" xfId="0" applyNumberFormat="1" applyFont="1" applyFill="1" applyBorder="1" applyAlignment="1">
      <alignment horizontal="center" vertical="center"/>
    </xf>
    <xf numFmtId="4" fontId="11" fillId="2" borderId="5" xfId="0" applyNumberFormat="1" applyFont="1" applyFill="1" applyBorder="1" applyAlignment="1">
      <alignment horizontal="right" vertical="center"/>
    </xf>
    <xf numFmtId="4" fontId="10" fillId="2" borderId="9" xfId="0" applyNumberFormat="1" applyFont="1" applyFill="1" applyBorder="1" applyAlignment="1">
      <alignment horizontal="right" vertical="center"/>
    </xf>
    <xf numFmtId="0" fontId="12" fillId="2" borderId="8" xfId="0" applyFont="1" applyFill="1" applyBorder="1"/>
    <xf numFmtId="0" fontId="12" fillId="2" borderId="0" xfId="0" applyFont="1" applyFill="1" applyBorder="1" applyAlignment="1">
      <alignment vertical="center"/>
    </xf>
    <xf numFmtId="0" fontId="12" fillId="2" borderId="0" xfId="0" applyFont="1" applyFill="1" applyBorder="1"/>
    <xf numFmtId="4" fontId="10" fillId="2" borderId="10" xfId="0" applyNumberFormat="1" applyFont="1" applyFill="1" applyBorder="1" applyAlignment="1">
      <alignment horizontal="right" vertical="center"/>
    </xf>
    <xf numFmtId="0" fontId="4" fillId="2" borderId="0" xfId="0" applyFont="1" applyFill="1"/>
    <xf numFmtId="165" fontId="10" fillId="2" borderId="8" xfId="0" applyNumberFormat="1" applyFont="1" applyFill="1" applyBorder="1" applyAlignment="1">
      <alignment horizontal="center" vertical="center"/>
    </xf>
    <xf numFmtId="0" fontId="11" fillId="2" borderId="8" xfId="0" applyFont="1" applyFill="1" applyBorder="1"/>
    <xf numFmtId="0" fontId="11" fillId="2" borderId="0" xfId="0" applyFont="1" applyFill="1" applyBorder="1" applyAlignment="1">
      <alignment vertical="center"/>
    </xf>
    <xf numFmtId="0" fontId="11" fillId="2" borderId="0" xfId="0" applyFont="1" applyFill="1" applyBorder="1"/>
    <xf numFmtId="4" fontId="10" fillId="2" borderId="10" xfId="0" applyNumberFormat="1" applyFont="1" applyFill="1" applyBorder="1" applyAlignment="1">
      <alignment horizontal="right" vertical="top"/>
    </xf>
    <xf numFmtId="4" fontId="10" fillId="2" borderId="14" xfId="0" applyNumberFormat="1" applyFont="1" applyFill="1" applyBorder="1" applyAlignment="1">
      <alignment horizontal="center" vertical="center" wrapText="1"/>
    </xf>
    <xf numFmtId="4" fontId="10" fillId="3" borderId="4" xfId="0" applyNumberFormat="1" applyFont="1" applyFill="1" applyBorder="1" applyAlignment="1">
      <alignment horizontal="right" vertical="center"/>
    </xf>
    <xf numFmtId="0" fontId="10" fillId="0" borderId="11" xfId="0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right" vertical="center"/>
    </xf>
    <xf numFmtId="0" fontId="10" fillId="0" borderId="7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 wrapText="1"/>
    </xf>
    <xf numFmtId="165" fontId="18" fillId="0" borderId="0" xfId="0" applyNumberFormat="1" applyFont="1" applyFill="1" applyBorder="1" applyAlignment="1">
      <alignment horizontal="left" vertical="center" wrapText="1"/>
    </xf>
    <xf numFmtId="165" fontId="18" fillId="0" borderId="0" xfId="0" applyNumberFormat="1" applyFont="1" applyFill="1" applyBorder="1" applyAlignment="1">
      <alignment horizontal="left" vertical="center"/>
    </xf>
    <xf numFmtId="2" fontId="10" fillId="3" borderId="1" xfId="0" applyNumberFormat="1" applyFont="1" applyFill="1" applyBorder="1" applyAlignment="1">
      <alignment horizontal="right" vertical="center"/>
    </xf>
    <xf numFmtId="2" fontId="10" fillId="3" borderId="2" xfId="0" applyNumberFormat="1" applyFont="1" applyFill="1" applyBorder="1" applyAlignment="1">
      <alignment horizontal="right" vertical="center"/>
    </xf>
    <xf numFmtId="2" fontId="10" fillId="3" borderId="3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</cellXfs>
  <cellStyles count="6">
    <cellStyle name="Millares 4" xfId="5"/>
    <cellStyle name="Millares 7" xfId="3"/>
    <cellStyle name="Normal" xfId="0" builtinId="0"/>
    <cellStyle name="Normal 10 2" xfId="4"/>
    <cellStyle name="Normal 2" xfId="1"/>
    <cellStyle name="Normal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</xdr:colOff>
      <xdr:row>0</xdr:row>
      <xdr:rowOff>179295</xdr:rowOff>
    </xdr:from>
    <xdr:to>
      <xdr:col>6</xdr:col>
      <xdr:colOff>990600</xdr:colOff>
      <xdr:row>0</xdr:row>
      <xdr:rowOff>1423148</xdr:rowOff>
    </xdr:to>
    <xdr:sp macro="" textlink="">
      <xdr:nvSpPr>
        <xdr:cNvPr id="2" name="Rectángulo 1"/>
        <xdr:cNvSpPr/>
      </xdr:nvSpPr>
      <xdr:spPr>
        <a:xfrm>
          <a:off x="7149353" y="179295"/>
          <a:ext cx="2032747" cy="1243853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DO" sz="3500" b="1">
              <a:latin typeface="Times New Roman" panose="02020603050405020304" pitchFamily="18" charset="0"/>
              <a:cs typeface="Times New Roman" panose="02020603050405020304" pitchFamily="18" charset="0"/>
            </a:rPr>
            <a:t>LOTE</a:t>
          </a:r>
          <a:r>
            <a:rPr lang="es-DO" sz="35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pPr algn="ctr"/>
          <a:r>
            <a:rPr lang="es-DO" sz="35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lang="es-DO" sz="35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4"/>
  <sheetViews>
    <sheetView tabSelected="1" view="pageBreakPreview" topLeftCell="A205" zoomScale="85" zoomScaleNormal="100" zoomScaleSheetLayoutView="85" workbookViewId="0">
      <selection activeCell="E137" sqref="E137"/>
    </sheetView>
  </sheetViews>
  <sheetFormatPr baseColWidth="10" defaultRowHeight="20.25" x14ac:dyDescent="0.3"/>
  <cols>
    <col min="1" max="1" width="7.85546875" style="1" bestFit="1" customWidth="1"/>
    <col min="2" max="2" width="58.7109375" style="7" customWidth="1"/>
    <col min="3" max="3" width="11.7109375" style="1" customWidth="1"/>
    <col min="4" max="4" width="11.140625" style="1" bestFit="1" customWidth="1"/>
    <col min="5" max="5" width="15" style="1" bestFit="1" customWidth="1"/>
    <col min="6" max="6" width="18.42578125" style="1" customWidth="1"/>
    <col min="7" max="7" width="19.42578125" style="3" bestFit="1" customWidth="1"/>
    <col min="8" max="16384" width="11.42578125" style="1"/>
  </cols>
  <sheetData>
    <row r="1" spans="1:7" ht="115.5" customHeight="1" x14ac:dyDescent="0.3">
      <c r="A1" s="2"/>
      <c r="B1" s="6"/>
      <c r="C1" s="2"/>
      <c r="D1" s="2"/>
      <c r="E1" s="2"/>
      <c r="F1" s="2"/>
      <c r="G1" s="4"/>
    </row>
    <row r="2" spans="1:7" ht="60.75" customHeight="1" x14ac:dyDescent="0.25">
      <c r="A2" s="82" t="s">
        <v>128</v>
      </c>
      <c r="B2" s="82"/>
      <c r="C2" s="82"/>
      <c r="D2" s="82"/>
      <c r="E2" s="82"/>
      <c r="F2" s="82"/>
      <c r="G2" s="82"/>
    </row>
    <row r="3" spans="1:7" ht="26.25" customHeight="1" x14ac:dyDescent="0.25">
      <c r="A3" s="11"/>
      <c r="B3" s="11"/>
      <c r="C3" s="11"/>
      <c r="D3" s="11"/>
      <c r="E3" s="11"/>
      <c r="F3" s="11"/>
      <c r="G3" s="11"/>
    </row>
    <row r="4" spans="1:7" ht="27.75" customHeight="1" x14ac:dyDescent="0.25">
      <c r="A4" s="12"/>
      <c r="B4" s="12"/>
      <c r="C4" s="12"/>
      <c r="D4" s="12"/>
      <c r="E4" s="88" t="s">
        <v>157</v>
      </c>
      <c r="F4" s="89"/>
      <c r="G4" s="89"/>
    </row>
    <row r="5" spans="1:7" x14ac:dyDescent="0.25">
      <c r="A5" s="10"/>
      <c r="B5" s="10"/>
      <c r="C5" s="10"/>
      <c r="D5" s="10"/>
      <c r="E5" s="10"/>
      <c r="F5" s="10"/>
      <c r="G5" s="10"/>
    </row>
    <row r="6" spans="1:7" s="3" customFormat="1" ht="46.5" customHeight="1" x14ac:dyDescent="0.3">
      <c r="A6" s="83" t="s">
        <v>50</v>
      </c>
      <c r="B6" s="83"/>
      <c r="C6" s="83"/>
      <c r="D6" s="83"/>
      <c r="E6" s="83"/>
      <c r="F6" s="83"/>
      <c r="G6" s="83"/>
    </row>
    <row r="7" spans="1:7" s="3" customFormat="1" ht="22.5" x14ac:dyDescent="0.3">
      <c r="A7" s="83" t="s">
        <v>118</v>
      </c>
      <c r="B7" s="83"/>
      <c r="C7" s="83"/>
      <c r="D7" s="83"/>
      <c r="E7" s="83"/>
      <c r="F7" s="83"/>
      <c r="G7" s="83"/>
    </row>
    <row r="8" spans="1:7" s="3" customFormat="1" ht="23.25" customHeight="1" x14ac:dyDescent="0.3">
      <c r="A8" s="84" t="s">
        <v>51</v>
      </c>
      <c r="B8" s="84"/>
      <c r="C8" s="84"/>
      <c r="D8" s="84"/>
      <c r="E8" s="84"/>
      <c r="F8" s="84"/>
      <c r="G8" s="84"/>
    </row>
    <row r="9" spans="1:7" s="3" customFormat="1" ht="21" thickBot="1" x14ac:dyDescent="0.35">
      <c r="A9" s="8"/>
      <c r="B9" s="8"/>
      <c r="C9" s="9"/>
      <c r="D9" s="8"/>
      <c r="E9" s="8"/>
      <c r="F9" s="8"/>
      <c r="G9" s="5"/>
    </row>
    <row r="10" spans="1:7" s="3" customFormat="1" ht="21" thickBot="1" x14ac:dyDescent="0.35">
      <c r="A10" s="55" t="s">
        <v>0</v>
      </c>
      <c r="B10" s="56" t="s">
        <v>1</v>
      </c>
      <c r="C10" s="56" t="s">
        <v>2</v>
      </c>
      <c r="D10" s="56" t="s">
        <v>3</v>
      </c>
      <c r="E10" s="56" t="s">
        <v>4</v>
      </c>
      <c r="F10" s="56" t="s">
        <v>5</v>
      </c>
      <c r="G10" s="56" t="s">
        <v>6</v>
      </c>
    </row>
    <row r="11" spans="1:7" s="3" customFormat="1" ht="21" thickBot="1" x14ac:dyDescent="0.35">
      <c r="A11" s="57" t="s">
        <v>30</v>
      </c>
      <c r="B11" s="58" t="s">
        <v>32</v>
      </c>
      <c r="C11" s="13"/>
      <c r="D11" s="13"/>
      <c r="E11" s="13"/>
      <c r="F11" s="13"/>
      <c r="G11" s="14"/>
    </row>
    <row r="12" spans="1:7" s="3" customFormat="1" ht="38.25" thickBot="1" x14ac:dyDescent="0.35">
      <c r="A12" s="26">
        <v>2</v>
      </c>
      <c r="B12" s="27" t="s">
        <v>129</v>
      </c>
      <c r="C12" s="60"/>
      <c r="D12" s="60"/>
      <c r="E12" s="60"/>
      <c r="F12" s="60"/>
      <c r="G12" s="61"/>
    </row>
    <row r="13" spans="1:7" s="3" customFormat="1" x14ac:dyDescent="0.3">
      <c r="A13" s="62">
        <f>+A12+0.01</f>
        <v>2.0099999999999998</v>
      </c>
      <c r="B13" s="63" t="s">
        <v>130</v>
      </c>
      <c r="C13" s="64">
        <f>+ROUND(6*1.5*0.6,2)</f>
        <v>5.4</v>
      </c>
      <c r="D13" s="64" t="s">
        <v>33</v>
      </c>
      <c r="E13" s="65"/>
      <c r="F13" s="65"/>
      <c r="G13" s="66"/>
    </row>
    <row r="14" spans="1:7" s="3" customFormat="1" x14ac:dyDescent="0.3">
      <c r="A14" s="62">
        <f t="shared" ref="A14:A16" si="0">+A13+0.01</f>
        <v>2.0199999999999996</v>
      </c>
      <c r="B14" s="63" t="s">
        <v>34</v>
      </c>
      <c r="C14" s="64">
        <f>ROUNDUP(C13*1.2,2)</f>
        <v>6.48</v>
      </c>
      <c r="D14" s="64" t="s">
        <v>33</v>
      </c>
      <c r="E14" s="65"/>
      <c r="F14" s="65"/>
      <c r="G14" s="66"/>
    </row>
    <row r="15" spans="1:7" s="3" customFormat="1" x14ac:dyDescent="0.3">
      <c r="A15" s="62">
        <f t="shared" si="0"/>
        <v>2.0299999999999994</v>
      </c>
      <c r="B15" s="63" t="s">
        <v>131</v>
      </c>
      <c r="C15" s="64">
        <f>+ROUND(6*1.5*0.35,2)</f>
        <v>3.15</v>
      </c>
      <c r="D15" s="64" t="s">
        <v>33</v>
      </c>
      <c r="E15" s="65"/>
      <c r="F15" s="65"/>
      <c r="G15" s="66"/>
    </row>
    <row r="16" spans="1:7" s="3" customFormat="1" ht="37.5" x14ac:dyDescent="0.3">
      <c r="A16" s="62">
        <f t="shared" si="0"/>
        <v>2.0399999999999991</v>
      </c>
      <c r="B16" s="63" t="s">
        <v>132</v>
      </c>
      <c r="C16" s="64">
        <f>+ROUND(6*1.5*0.25,2)</f>
        <v>2.25</v>
      </c>
      <c r="D16" s="64" t="s">
        <v>33</v>
      </c>
      <c r="E16" s="65"/>
      <c r="F16" s="65"/>
      <c r="G16" s="66"/>
    </row>
    <row r="17" spans="1:7" s="3" customFormat="1" ht="21" thickBot="1" x14ac:dyDescent="0.35">
      <c r="A17" s="67"/>
      <c r="B17" s="68"/>
      <c r="C17" s="69"/>
      <c r="D17" s="69"/>
      <c r="E17" s="69"/>
      <c r="F17" s="69"/>
      <c r="G17" s="70"/>
    </row>
    <row r="18" spans="1:7" s="3" customFormat="1" ht="57" thickBot="1" x14ac:dyDescent="0.35">
      <c r="A18" s="26">
        <v>3</v>
      </c>
      <c r="B18" s="27" t="s">
        <v>133</v>
      </c>
      <c r="C18" s="60"/>
      <c r="D18" s="60"/>
      <c r="E18" s="60"/>
      <c r="F18" s="60"/>
      <c r="G18" s="61"/>
    </row>
    <row r="19" spans="1:7" s="3" customFormat="1" x14ac:dyDescent="0.3">
      <c r="A19" s="62">
        <f>+A18+0.01</f>
        <v>3.01</v>
      </c>
      <c r="B19" s="63" t="s">
        <v>134</v>
      </c>
      <c r="C19" s="64">
        <f>+ROUND(6.5*1.5*0.6,2)</f>
        <v>5.85</v>
      </c>
      <c r="D19" s="64" t="s">
        <v>33</v>
      </c>
      <c r="E19" s="65"/>
      <c r="F19" s="65"/>
      <c r="G19" s="66"/>
    </row>
    <row r="20" spans="1:7" s="3" customFormat="1" x14ac:dyDescent="0.3">
      <c r="A20" s="62">
        <f t="shared" ref="A20:A22" si="1">+A19+0.01</f>
        <v>3.0199999999999996</v>
      </c>
      <c r="B20" s="63" t="s">
        <v>34</v>
      </c>
      <c r="C20" s="64">
        <f>ROUNDUP(C19*1.2,2)</f>
        <v>7.02</v>
      </c>
      <c r="D20" s="64" t="s">
        <v>33</v>
      </c>
      <c r="E20" s="65"/>
      <c r="F20" s="65"/>
      <c r="G20" s="66"/>
    </row>
    <row r="21" spans="1:7" s="3" customFormat="1" x14ac:dyDescent="0.3">
      <c r="A21" s="62">
        <f t="shared" si="1"/>
        <v>3.0299999999999994</v>
      </c>
      <c r="B21" s="63" t="s">
        <v>135</v>
      </c>
      <c r="C21" s="64">
        <f>+ROUND(6.5*1.5*0.35,2)</f>
        <v>3.41</v>
      </c>
      <c r="D21" s="64" t="s">
        <v>33</v>
      </c>
      <c r="E21" s="65"/>
      <c r="F21" s="65"/>
      <c r="G21" s="66"/>
    </row>
    <row r="22" spans="1:7" s="3" customFormat="1" ht="37.5" x14ac:dyDescent="0.3">
      <c r="A22" s="62">
        <f t="shared" si="1"/>
        <v>3.0399999999999991</v>
      </c>
      <c r="B22" s="63" t="s">
        <v>136</v>
      </c>
      <c r="C22" s="64">
        <f>+ROUND(6.5*1.5*0.25,2)</f>
        <v>2.44</v>
      </c>
      <c r="D22" s="64" t="s">
        <v>33</v>
      </c>
      <c r="E22" s="65"/>
      <c r="F22" s="65"/>
      <c r="G22" s="66"/>
    </row>
    <row r="23" spans="1:7" s="3" customFormat="1" ht="21" thickBot="1" x14ac:dyDescent="0.35">
      <c r="A23" s="67"/>
      <c r="B23" s="68"/>
      <c r="C23" s="69"/>
      <c r="D23" s="69"/>
      <c r="E23" s="69"/>
      <c r="F23" s="69"/>
      <c r="G23" s="70"/>
    </row>
    <row r="24" spans="1:7" s="3" customFormat="1" ht="75.75" thickBot="1" x14ac:dyDescent="0.35">
      <c r="A24" s="26">
        <v>4</v>
      </c>
      <c r="B24" s="27" t="s">
        <v>137</v>
      </c>
      <c r="C24" s="60"/>
      <c r="D24" s="60"/>
      <c r="E24" s="60"/>
      <c r="F24" s="60"/>
      <c r="G24" s="61"/>
    </row>
    <row r="25" spans="1:7" s="3" customFormat="1" x14ac:dyDescent="0.3">
      <c r="A25" s="62">
        <f>+A24+0.01</f>
        <v>4.01</v>
      </c>
      <c r="B25" s="63" t="s">
        <v>138</v>
      </c>
      <c r="C25" s="64">
        <f>+ROUND(6*2*0.6,2)</f>
        <v>7.2</v>
      </c>
      <c r="D25" s="64" t="s">
        <v>33</v>
      </c>
      <c r="E25" s="65"/>
      <c r="F25" s="65"/>
      <c r="G25" s="66"/>
    </row>
    <row r="26" spans="1:7" s="3" customFormat="1" x14ac:dyDescent="0.3">
      <c r="A26" s="62">
        <f t="shared" ref="A26:A28" si="2">+A25+0.01</f>
        <v>4.0199999999999996</v>
      </c>
      <c r="B26" s="63" t="s">
        <v>34</v>
      </c>
      <c r="C26" s="64">
        <f>ROUNDUP(C25*1.2,2)</f>
        <v>8.64</v>
      </c>
      <c r="D26" s="64" t="s">
        <v>33</v>
      </c>
      <c r="E26" s="65"/>
      <c r="F26" s="65"/>
      <c r="G26" s="66"/>
    </row>
    <row r="27" spans="1:7" s="3" customFormat="1" x14ac:dyDescent="0.3">
      <c r="A27" s="62">
        <f t="shared" si="2"/>
        <v>4.0299999999999994</v>
      </c>
      <c r="B27" s="63" t="s">
        <v>139</v>
      </c>
      <c r="C27" s="64">
        <f>+ROUND(6*2*0.35,2)</f>
        <v>4.2</v>
      </c>
      <c r="D27" s="64" t="s">
        <v>33</v>
      </c>
      <c r="E27" s="65"/>
      <c r="F27" s="65"/>
      <c r="G27" s="66"/>
    </row>
    <row r="28" spans="1:7" s="3" customFormat="1" ht="37.5" x14ac:dyDescent="0.3">
      <c r="A28" s="62">
        <f t="shared" si="2"/>
        <v>4.0399999999999991</v>
      </c>
      <c r="B28" s="63" t="s">
        <v>140</v>
      </c>
      <c r="C28" s="64">
        <f>+ROUND(6*2*0.25,2)</f>
        <v>3</v>
      </c>
      <c r="D28" s="64" t="s">
        <v>33</v>
      </c>
      <c r="E28" s="65"/>
      <c r="F28" s="65"/>
      <c r="G28" s="66"/>
    </row>
    <row r="29" spans="1:7" s="3" customFormat="1" ht="56.25" x14ac:dyDescent="0.3">
      <c r="A29" s="62">
        <f>+A28+0.01</f>
        <v>4.0499999999999989</v>
      </c>
      <c r="B29" s="63" t="s">
        <v>141</v>
      </c>
      <c r="C29" s="64">
        <v>15</v>
      </c>
      <c r="D29" s="64" t="s">
        <v>142</v>
      </c>
      <c r="E29" s="65"/>
      <c r="F29" s="65"/>
      <c r="G29" s="66"/>
    </row>
    <row r="30" spans="1:7" s="3" customFormat="1" ht="21" thickBot="1" x14ac:dyDescent="0.35">
      <c r="A30" s="67"/>
      <c r="B30" s="68"/>
      <c r="C30" s="69"/>
      <c r="D30" s="69"/>
      <c r="E30" s="69"/>
      <c r="F30" s="69"/>
      <c r="G30" s="70"/>
    </row>
    <row r="31" spans="1:7" s="3" customFormat="1" ht="57" thickBot="1" x14ac:dyDescent="0.35">
      <c r="A31" s="26">
        <v>5</v>
      </c>
      <c r="B31" s="27" t="s">
        <v>143</v>
      </c>
      <c r="C31" s="60"/>
      <c r="D31" s="60"/>
      <c r="E31" s="60"/>
      <c r="F31" s="60"/>
      <c r="G31" s="61"/>
    </row>
    <row r="32" spans="1:7" s="3" customFormat="1" x14ac:dyDescent="0.3">
      <c r="A32" s="62">
        <f>+A31+0.01</f>
        <v>5.01</v>
      </c>
      <c r="B32" s="63" t="s">
        <v>144</v>
      </c>
      <c r="C32" s="64">
        <f>+ROUND(7.5*1.5*0.6,2)</f>
        <v>6.75</v>
      </c>
      <c r="D32" s="64" t="s">
        <v>33</v>
      </c>
      <c r="E32" s="65"/>
      <c r="F32" s="65"/>
      <c r="G32" s="66"/>
    </row>
    <row r="33" spans="1:7" s="3" customFormat="1" x14ac:dyDescent="0.3">
      <c r="A33" s="62">
        <f t="shared" ref="A33:A35" si="3">+A32+0.01</f>
        <v>5.0199999999999996</v>
      </c>
      <c r="B33" s="63" t="s">
        <v>34</v>
      </c>
      <c r="C33" s="64">
        <f>ROUNDUP(C32*1.2,2)</f>
        <v>8.1</v>
      </c>
      <c r="D33" s="64" t="s">
        <v>33</v>
      </c>
      <c r="E33" s="65"/>
      <c r="F33" s="65"/>
      <c r="G33" s="66"/>
    </row>
    <row r="34" spans="1:7" s="3" customFormat="1" x14ac:dyDescent="0.3">
      <c r="A34" s="62">
        <f t="shared" si="3"/>
        <v>5.0299999999999994</v>
      </c>
      <c r="B34" s="63" t="s">
        <v>145</v>
      </c>
      <c r="C34" s="64">
        <f>+ROUND(7.5*1.5*0.35,2)</f>
        <v>3.94</v>
      </c>
      <c r="D34" s="64" t="s">
        <v>33</v>
      </c>
      <c r="E34" s="65"/>
      <c r="F34" s="65"/>
      <c r="G34" s="66"/>
    </row>
    <row r="35" spans="1:7" s="3" customFormat="1" ht="37.5" x14ac:dyDescent="0.3">
      <c r="A35" s="62">
        <f t="shared" si="3"/>
        <v>5.0399999999999991</v>
      </c>
      <c r="B35" s="63" t="s">
        <v>146</v>
      </c>
      <c r="C35" s="64">
        <f>+ROUND(7*1.5*0.25,2)</f>
        <v>2.63</v>
      </c>
      <c r="D35" s="64" t="s">
        <v>33</v>
      </c>
      <c r="E35" s="65"/>
      <c r="F35" s="65"/>
      <c r="G35" s="66"/>
    </row>
    <row r="36" spans="1:7" s="3" customFormat="1" ht="21" thickBot="1" x14ac:dyDescent="0.35">
      <c r="A36" s="67"/>
      <c r="B36" s="68"/>
      <c r="C36" s="69"/>
      <c r="D36" s="69"/>
      <c r="E36" s="69"/>
      <c r="F36" s="69"/>
      <c r="G36" s="70"/>
    </row>
    <row r="37" spans="1:7" s="3" customFormat="1" ht="38.25" thickBot="1" x14ac:dyDescent="0.35">
      <c r="A37" s="26">
        <v>6</v>
      </c>
      <c r="B37" s="27" t="s">
        <v>147</v>
      </c>
      <c r="C37" s="60"/>
      <c r="D37" s="60"/>
      <c r="E37" s="60"/>
      <c r="F37" s="60"/>
      <c r="G37" s="61"/>
    </row>
    <row r="38" spans="1:7" s="3" customFormat="1" x14ac:dyDescent="0.3">
      <c r="A38" s="62">
        <f>+A37+0.01</f>
        <v>6.01</v>
      </c>
      <c r="B38" s="63" t="s">
        <v>148</v>
      </c>
      <c r="C38" s="64">
        <f>+ROUND(5.5*2*0.6,2)</f>
        <v>6.6</v>
      </c>
      <c r="D38" s="64" t="s">
        <v>33</v>
      </c>
      <c r="E38" s="65"/>
      <c r="F38" s="65"/>
      <c r="G38" s="66"/>
    </row>
    <row r="39" spans="1:7" s="3" customFormat="1" x14ac:dyDescent="0.3">
      <c r="A39" s="62">
        <f t="shared" ref="A39:A41" si="4">+A38+0.01</f>
        <v>6.02</v>
      </c>
      <c r="B39" s="63" t="s">
        <v>34</v>
      </c>
      <c r="C39" s="64">
        <f>ROUNDUP(C38*1.2,2)</f>
        <v>7.92</v>
      </c>
      <c r="D39" s="64" t="s">
        <v>33</v>
      </c>
      <c r="E39" s="65"/>
      <c r="F39" s="65"/>
      <c r="G39" s="66"/>
    </row>
    <row r="40" spans="1:7" s="3" customFormat="1" x14ac:dyDescent="0.3">
      <c r="A40" s="62">
        <f t="shared" si="4"/>
        <v>6.0299999999999994</v>
      </c>
      <c r="B40" s="63" t="s">
        <v>149</v>
      </c>
      <c r="C40" s="64">
        <f>+ROUND(5.5*2*0.35,2)</f>
        <v>3.85</v>
      </c>
      <c r="D40" s="64" t="s">
        <v>33</v>
      </c>
      <c r="E40" s="65"/>
      <c r="F40" s="65"/>
      <c r="G40" s="66"/>
    </row>
    <row r="41" spans="1:7" s="3" customFormat="1" ht="37.5" x14ac:dyDescent="0.3">
      <c r="A41" s="62">
        <f t="shared" si="4"/>
        <v>6.0399999999999991</v>
      </c>
      <c r="B41" s="63" t="s">
        <v>150</v>
      </c>
      <c r="C41" s="64">
        <f>+ROUND(5.5*22*0.25,2)</f>
        <v>30.25</v>
      </c>
      <c r="D41" s="64" t="s">
        <v>33</v>
      </c>
      <c r="E41" s="65"/>
      <c r="F41" s="65"/>
      <c r="G41" s="66"/>
    </row>
    <row r="42" spans="1:7" s="3" customFormat="1" ht="21" thickBot="1" x14ac:dyDescent="0.35">
      <c r="A42" s="67"/>
      <c r="B42" s="68"/>
      <c r="C42" s="69"/>
      <c r="D42" s="69"/>
      <c r="E42" s="69"/>
      <c r="F42" s="69"/>
      <c r="G42" s="70"/>
    </row>
    <row r="43" spans="1:7" s="3" customFormat="1" ht="57" thickBot="1" x14ac:dyDescent="0.35">
      <c r="A43" s="26">
        <v>7</v>
      </c>
      <c r="B43" s="27" t="s">
        <v>151</v>
      </c>
      <c r="C43" s="60"/>
      <c r="D43" s="60"/>
      <c r="E43" s="60"/>
      <c r="F43" s="60"/>
      <c r="G43" s="61"/>
    </row>
    <row r="44" spans="1:7" s="3" customFormat="1" x14ac:dyDescent="0.3">
      <c r="A44" s="62">
        <f>+A43+0.01</f>
        <v>7.01</v>
      </c>
      <c r="B44" s="63" t="s">
        <v>152</v>
      </c>
      <c r="C44" s="64">
        <f>+ROUND(10*3*0.6,2)</f>
        <v>18</v>
      </c>
      <c r="D44" s="64" t="s">
        <v>33</v>
      </c>
      <c r="E44" s="65"/>
      <c r="F44" s="65"/>
      <c r="G44" s="66"/>
    </row>
    <row r="45" spans="1:7" s="3" customFormat="1" x14ac:dyDescent="0.3">
      <c r="A45" s="62">
        <f t="shared" ref="A45:A47" si="5">+A44+0.01</f>
        <v>7.02</v>
      </c>
      <c r="B45" s="63" t="s">
        <v>34</v>
      </c>
      <c r="C45" s="64">
        <f>ROUNDUP(C44*1.2,2)</f>
        <v>21.6</v>
      </c>
      <c r="D45" s="64" t="s">
        <v>33</v>
      </c>
      <c r="E45" s="65"/>
      <c r="F45" s="65"/>
      <c r="G45" s="66"/>
    </row>
    <row r="46" spans="1:7" s="3" customFormat="1" x14ac:dyDescent="0.3">
      <c r="A46" s="62">
        <f t="shared" si="5"/>
        <v>7.0299999999999994</v>
      </c>
      <c r="B46" s="63" t="s">
        <v>153</v>
      </c>
      <c r="C46" s="64">
        <f>+ROUND(10*3*0.35,2)</f>
        <v>10.5</v>
      </c>
      <c r="D46" s="64" t="s">
        <v>33</v>
      </c>
      <c r="E46" s="65"/>
      <c r="F46" s="65"/>
      <c r="G46" s="66"/>
    </row>
    <row r="47" spans="1:7" s="3" customFormat="1" ht="37.5" x14ac:dyDescent="0.3">
      <c r="A47" s="62">
        <f t="shared" si="5"/>
        <v>7.0399999999999991</v>
      </c>
      <c r="B47" s="63" t="s">
        <v>154</v>
      </c>
      <c r="C47" s="64">
        <f>+ROUND(10*3*0.25,2)</f>
        <v>7.5</v>
      </c>
      <c r="D47" s="64" t="s">
        <v>33</v>
      </c>
      <c r="E47" s="65"/>
      <c r="F47" s="65"/>
      <c r="G47" s="66"/>
    </row>
    <row r="48" spans="1:7" s="3" customFormat="1" ht="56.25" x14ac:dyDescent="0.3">
      <c r="A48" s="62">
        <f>+A47+0.01</f>
        <v>7.0499999999999989</v>
      </c>
      <c r="B48" s="63" t="s">
        <v>141</v>
      </c>
      <c r="C48" s="64">
        <v>30</v>
      </c>
      <c r="D48" s="64" t="s">
        <v>142</v>
      </c>
      <c r="E48" s="65"/>
      <c r="F48" s="65"/>
      <c r="G48" s="66"/>
    </row>
    <row r="49" spans="1:7" s="3" customFormat="1" ht="21" thickBot="1" x14ac:dyDescent="0.35">
      <c r="A49" s="67"/>
      <c r="B49" s="68"/>
      <c r="C49" s="69"/>
      <c r="D49" s="69"/>
      <c r="E49" s="69"/>
      <c r="F49" s="69"/>
      <c r="G49" s="70"/>
    </row>
    <row r="50" spans="1:7" s="3" customFormat="1" ht="21" thickBot="1" x14ac:dyDescent="0.35">
      <c r="A50" s="26"/>
      <c r="B50" s="59" t="s">
        <v>75</v>
      </c>
      <c r="C50" s="60"/>
      <c r="D50" s="60"/>
      <c r="E50" s="60"/>
      <c r="F50" s="60"/>
      <c r="G50" s="61"/>
    </row>
    <row r="51" spans="1:7" s="3" customFormat="1" ht="57" thickBot="1" x14ac:dyDescent="0.35">
      <c r="A51" s="26">
        <v>1</v>
      </c>
      <c r="B51" s="27" t="s">
        <v>76</v>
      </c>
      <c r="C51" s="60"/>
      <c r="D51" s="60"/>
      <c r="E51" s="60"/>
      <c r="F51" s="60"/>
      <c r="G51" s="61"/>
    </row>
    <row r="52" spans="1:7" s="3" customFormat="1" x14ac:dyDescent="0.3">
      <c r="A52" s="62">
        <f>+A51+0.01</f>
        <v>1.01</v>
      </c>
      <c r="B52" s="63" t="s">
        <v>77</v>
      </c>
      <c r="C52" s="64">
        <f>+ROUND(6.4*3*0.6,2)</f>
        <v>11.52</v>
      </c>
      <c r="D52" s="64" t="s">
        <v>33</v>
      </c>
      <c r="E52" s="65"/>
      <c r="F52" s="65"/>
      <c r="G52" s="66"/>
    </row>
    <row r="53" spans="1:7" s="3" customFormat="1" x14ac:dyDescent="0.3">
      <c r="A53" s="62">
        <f t="shared" ref="A53:A55" si="6">+A52+0.01</f>
        <v>1.02</v>
      </c>
      <c r="B53" s="63" t="s">
        <v>34</v>
      </c>
      <c r="C53" s="64">
        <f>ROUNDUP(C52*1.2,2)</f>
        <v>13.83</v>
      </c>
      <c r="D53" s="64" t="s">
        <v>33</v>
      </c>
      <c r="E53" s="65"/>
      <c r="F53" s="65"/>
      <c r="G53" s="66"/>
    </row>
    <row r="54" spans="1:7" s="3" customFormat="1" x14ac:dyDescent="0.3">
      <c r="A54" s="62">
        <f t="shared" si="6"/>
        <v>1.03</v>
      </c>
      <c r="B54" s="63" t="s">
        <v>78</v>
      </c>
      <c r="C54" s="64">
        <f>+ROUND(6.4*3*0.35,2)</f>
        <v>6.72</v>
      </c>
      <c r="D54" s="64" t="s">
        <v>33</v>
      </c>
      <c r="E54" s="65"/>
      <c r="F54" s="65"/>
      <c r="G54" s="66"/>
    </row>
    <row r="55" spans="1:7" s="3" customFormat="1" ht="37.5" x14ac:dyDescent="0.3">
      <c r="A55" s="62">
        <f t="shared" si="6"/>
        <v>1.04</v>
      </c>
      <c r="B55" s="63" t="s">
        <v>79</v>
      </c>
      <c r="C55" s="64">
        <f>+ROUND(6.4*3*0.25,2)</f>
        <v>4.8</v>
      </c>
      <c r="D55" s="64" t="s">
        <v>33</v>
      </c>
      <c r="E55" s="65"/>
      <c r="F55" s="65"/>
      <c r="G55" s="66"/>
    </row>
    <row r="56" spans="1:7" s="3" customFormat="1" ht="21" thickBot="1" x14ac:dyDescent="0.35">
      <c r="A56" s="67"/>
      <c r="B56" s="68"/>
      <c r="C56" s="69"/>
      <c r="D56" s="69"/>
      <c r="E56" s="69"/>
      <c r="F56" s="69"/>
      <c r="G56" s="70"/>
    </row>
    <row r="57" spans="1:7" s="3" customFormat="1" ht="38.25" thickBot="1" x14ac:dyDescent="0.35">
      <c r="A57" s="26">
        <v>2</v>
      </c>
      <c r="B57" s="27" t="s">
        <v>80</v>
      </c>
      <c r="C57" s="60"/>
      <c r="D57" s="60"/>
      <c r="E57" s="60"/>
      <c r="F57" s="60"/>
      <c r="G57" s="61"/>
    </row>
    <row r="58" spans="1:7" s="3" customFormat="1" x14ac:dyDescent="0.3">
      <c r="A58" s="62">
        <f>+A57+0.01</f>
        <v>2.0099999999999998</v>
      </c>
      <c r="B58" s="63" t="s">
        <v>81</v>
      </c>
      <c r="C58" s="64">
        <f>+ROUND(5.4*2*0.6,2)</f>
        <v>6.48</v>
      </c>
      <c r="D58" s="64" t="s">
        <v>33</v>
      </c>
      <c r="E58" s="65"/>
      <c r="F58" s="65"/>
      <c r="G58" s="66"/>
    </row>
    <row r="59" spans="1:7" s="3" customFormat="1" x14ac:dyDescent="0.3">
      <c r="A59" s="62">
        <f t="shared" ref="A59:A61" si="7">+A58+0.01</f>
        <v>2.0199999999999996</v>
      </c>
      <c r="B59" s="63" t="s">
        <v>34</v>
      </c>
      <c r="C59" s="64">
        <f>ROUNDUP(C58*1.2,2)</f>
        <v>7.7799999999999994</v>
      </c>
      <c r="D59" s="64" t="s">
        <v>33</v>
      </c>
      <c r="E59" s="65"/>
      <c r="F59" s="65"/>
      <c r="G59" s="66"/>
    </row>
    <row r="60" spans="1:7" s="3" customFormat="1" x14ac:dyDescent="0.3">
      <c r="A60" s="62">
        <f t="shared" si="7"/>
        <v>2.0299999999999994</v>
      </c>
      <c r="B60" s="63" t="s">
        <v>82</v>
      </c>
      <c r="C60" s="64">
        <f>+ROUND(5.4*2*0.35,2)</f>
        <v>3.78</v>
      </c>
      <c r="D60" s="64" t="s">
        <v>33</v>
      </c>
      <c r="E60" s="65"/>
      <c r="F60" s="65"/>
      <c r="G60" s="66"/>
    </row>
    <row r="61" spans="1:7" s="3" customFormat="1" ht="37.5" x14ac:dyDescent="0.3">
      <c r="A61" s="62">
        <f t="shared" si="7"/>
        <v>2.0399999999999991</v>
      </c>
      <c r="B61" s="63" t="s">
        <v>83</v>
      </c>
      <c r="C61" s="64">
        <f>+ROUND(5.4*2*0.25,2)</f>
        <v>2.7</v>
      </c>
      <c r="D61" s="64" t="s">
        <v>33</v>
      </c>
      <c r="E61" s="65"/>
      <c r="F61" s="65"/>
      <c r="G61" s="66"/>
    </row>
    <row r="62" spans="1:7" s="3" customFormat="1" ht="21" thickBot="1" x14ac:dyDescent="0.35">
      <c r="A62" s="67"/>
      <c r="B62" s="68"/>
      <c r="C62" s="69"/>
      <c r="D62" s="69"/>
      <c r="E62" s="69"/>
      <c r="F62" s="69"/>
      <c r="G62" s="70"/>
    </row>
    <row r="63" spans="1:7" s="3" customFormat="1" ht="38.25" thickBot="1" x14ac:dyDescent="0.35">
      <c r="A63" s="26">
        <v>3</v>
      </c>
      <c r="B63" s="27" t="s">
        <v>84</v>
      </c>
      <c r="C63" s="60"/>
      <c r="D63" s="60"/>
      <c r="E63" s="60"/>
      <c r="F63" s="60"/>
      <c r="G63" s="61"/>
    </row>
    <row r="64" spans="1:7" s="3" customFormat="1" x14ac:dyDescent="0.3">
      <c r="A64" s="62">
        <f>+A63+0.01</f>
        <v>3.01</v>
      </c>
      <c r="B64" s="63" t="s">
        <v>85</v>
      </c>
      <c r="C64" s="64">
        <f>+ROUND(7.6*2*0.6,2)</f>
        <v>9.1199999999999992</v>
      </c>
      <c r="D64" s="64" t="s">
        <v>33</v>
      </c>
      <c r="E64" s="65"/>
      <c r="F64" s="65"/>
      <c r="G64" s="66"/>
    </row>
    <row r="65" spans="1:7" s="3" customFormat="1" x14ac:dyDescent="0.3">
      <c r="A65" s="62">
        <f t="shared" ref="A65:A67" si="8">+A64+0.01</f>
        <v>3.0199999999999996</v>
      </c>
      <c r="B65" s="63" t="s">
        <v>34</v>
      </c>
      <c r="C65" s="64">
        <f>ROUNDUP(C64*1.2,2)</f>
        <v>10.95</v>
      </c>
      <c r="D65" s="64" t="s">
        <v>33</v>
      </c>
      <c r="E65" s="65"/>
      <c r="F65" s="65"/>
      <c r="G65" s="66"/>
    </row>
    <row r="66" spans="1:7" s="3" customFormat="1" x14ac:dyDescent="0.3">
      <c r="A66" s="62">
        <f t="shared" si="8"/>
        <v>3.0299999999999994</v>
      </c>
      <c r="B66" s="63" t="s">
        <v>86</v>
      </c>
      <c r="C66" s="64">
        <f>+ROUND(7.6*2*0.35,2)</f>
        <v>5.32</v>
      </c>
      <c r="D66" s="64" t="s">
        <v>33</v>
      </c>
      <c r="E66" s="65"/>
      <c r="F66" s="65"/>
      <c r="G66" s="66"/>
    </row>
    <row r="67" spans="1:7" s="3" customFormat="1" ht="37.5" x14ac:dyDescent="0.3">
      <c r="A67" s="62">
        <f t="shared" si="8"/>
        <v>3.0399999999999991</v>
      </c>
      <c r="B67" s="63" t="s">
        <v>87</v>
      </c>
      <c r="C67" s="64">
        <f>+ROUND(7.6*2*0.25,2)</f>
        <v>3.8</v>
      </c>
      <c r="D67" s="64" t="s">
        <v>33</v>
      </c>
      <c r="E67" s="65"/>
      <c r="F67" s="65"/>
      <c r="G67" s="66"/>
    </row>
    <row r="68" spans="1:7" s="3" customFormat="1" ht="21" thickBot="1" x14ac:dyDescent="0.35">
      <c r="A68" s="67"/>
      <c r="B68" s="68"/>
      <c r="C68" s="69"/>
      <c r="D68" s="69"/>
      <c r="E68" s="69"/>
      <c r="F68" s="69"/>
      <c r="G68" s="70"/>
    </row>
    <row r="69" spans="1:7" s="3" customFormat="1" ht="21" thickBot="1" x14ac:dyDescent="0.35">
      <c r="A69" s="26"/>
      <c r="B69" s="59" t="s">
        <v>74</v>
      </c>
      <c r="C69" s="60"/>
      <c r="D69" s="60"/>
      <c r="E69" s="60"/>
      <c r="F69" s="60"/>
      <c r="G69" s="61"/>
    </row>
    <row r="70" spans="1:7" s="3" customFormat="1" ht="42" customHeight="1" thickBot="1" x14ac:dyDescent="0.35">
      <c r="A70" s="26">
        <v>1</v>
      </c>
      <c r="B70" s="27" t="s">
        <v>53</v>
      </c>
      <c r="C70" s="60"/>
      <c r="D70" s="60"/>
      <c r="E70" s="60"/>
      <c r="F70" s="60"/>
      <c r="G70" s="61"/>
    </row>
    <row r="71" spans="1:7" s="3" customFormat="1" ht="24" customHeight="1" x14ac:dyDescent="0.3">
      <c r="A71" s="62">
        <f>+A70+0.01</f>
        <v>1.01</v>
      </c>
      <c r="B71" s="63" t="s">
        <v>54</v>
      </c>
      <c r="C71" s="64">
        <v>59.5</v>
      </c>
      <c r="D71" s="64" t="s">
        <v>55</v>
      </c>
      <c r="E71" s="65"/>
      <c r="F71" s="65"/>
      <c r="G71" s="66"/>
    </row>
    <row r="72" spans="1:7" s="3" customFormat="1" ht="23.25" customHeight="1" x14ac:dyDescent="0.3">
      <c r="A72" s="62">
        <f>+A71+0.01</f>
        <v>1.02</v>
      </c>
      <c r="B72" s="63" t="s">
        <v>56</v>
      </c>
      <c r="C72" s="64">
        <f>59.5*0.9</f>
        <v>53.550000000000004</v>
      </c>
      <c r="D72" s="64" t="s">
        <v>57</v>
      </c>
      <c r="E72" s="65"/>
      <c r="F72" s="65"/>
      <c r="G72" s="66"/>
    </row>
    <row r="73" spans="1:7" s="3" customFormat="1" x14ac:dyDescent="0.3">
      <c r="A73" s="62">
        <f t="shared" ref="A73:A80" si="9">+A72+0.01</f>
        <v>1.03</v>
      </c>
      <c r="B73" s="63" t="s">
        <v>58</v>
      </c>
      <c r="C73" s="64">
        <f>+ROUND(C71,2)</f>
        <v>59.5</v>
      </c>
      <c r="D73" s="64" t="s">
        <v>55</v>
      </c>
      <c r="E73" s="65"/>
      <c r="F73" s="65"/>
      <c r="G73" s="66"/>
    </row>
    <row r="74" spans="1:7" s="3" customFormat="1" ht="37.5" x14ac:dyDescent="0.3">
      <c r="A74" s="62">
        <f t="shared" si="9"/>
        <v>1.04</v>
      </c>
      <c r="B74" s="63" t="s">
        <v>59</v>
      </c>
      <c r="C74" s="64">
        <f>+ROUND(C73*0.5*0.2,2)</f>
        <v>5.95</v>
      </c>
      <c r="D74" s="64" t="s">
        <v>47</v>
      </c>
      <c r="E74" s="65"/>
      <c r="F74" s="65"/>
      <c r="G74" s="66"/>
    </row>
    <row r="75" spans="1:7" s="3" customFormat="1" x14ac:dyDescent="0.3">
      <c r="A75" s="62">
        <f t="shared" si="9"/>
        <v>1.05</v>
      </c>
      <c r="B75" s="63" t="s">
        <v>60</v>
      </c>
      <c r="C75" s="64">
        <f>+ROUND(C71*0.9*0.1,2)</f>
        <v>5.36</v>
      </c>
      <c r="D75" s="64" t="s">
        <v>47</v>
      </c>
      <c r="E75" s="65"/>
      <c r="F75" s="65"/>
      <c r="G75" s="66"/>
    </row>
    <row r="76" spans="1:7" s="3" customFormat="1" ht="60" customHeight="1" x14ac:dyDescent="0.3">
      <c r="A76" s="62">
        <f t="shared" si="9"/>
        <v>1.06</v>
      </c>
      <c r="B76" s="63" t="s">
        <v>61</v>
      </c>
      <c r="C76" s="64">
        <f>+ROUND(C71*0.9*0.2,2)</f>
        <v>10.71</v>
      </c>
      <c r="D76" s="64" t="s">
        <v>47</v>
      </c>
      <c r="E76" s="65"/>
      <c r="F76" s="65"/>
      <c r="G76" s="66"/>
    </row>
    <row r="77" spans="1:7" s="3" customFormat="1" ht="27" customHeight="1" x14ac:dyDescent="0.3">
      <c r="A77" s="62">
        <f t="shared" si="9"/>
        <v>1.07</v>
      </c>
      <c r="B77" s="63" t="s">
        <v>62</v>
      </c>
      <c r="C77" s="64">
        <f>+ROUND(C73*0.5*0.2,2)</f>
        <v>5.95</v>
      </c>
      <c r="D77" s="64" t="s">
        <v>47</v>
      </c>
      <c r="E77" s="65"/>
      <c r="F77" s="65"/>
      <c r="G77" s="66"/>
    </row>
    <row r="78" spans="1:7" s="3" customFormat="1" ht="49.5" customHeight="1" x14ac:dyDescent="0.3">
      <c r="A78" s="62">
        <f t="shared" si="9"/>
        <v>1.08</v>
      </c>
      <c r="B78" s="63" t="s">
        <v>63</v>
      </c>
      <c r="C78" s="64">
        <f>+ROUND((C74+C75)*1.2,2)</f>
        <v>13.57</v>
      </c>
      <c r="D78" s="64" t="s">
        <v>47</v>
      </c>
      <c r="E78" s="65"/>
      <c r="F78" s="65"/>
      <c r="G78" s="66"/>
    </row>
    <row r="79" spans="1:7" s="3" customFormat="1" ht="46.5" customHeight="1" x14ac:dyDescent="0.3">
      <c r="A79" s="62">
        <f t="shared" si="9"/>
        <v>1.0900000000000001</v>
      </c>
      <c r="B79" s="63" t="s">
        <v>64</v>
      </c>
      <c r="C79" s="64">
        <f>+ROUND(C73,2)</f>
        <v>59.5</v>
      </c>
      <c r="D79" s="64" t="s">
        <v>55</v>
      </c>
      <c r="E79" s="65"/>
      <c r="F79" s="65"/>
      <c r="G79" s="66"/>
    </row>
    <row r="80" spans="1:7" s="3" customFormat="1" ht="47.25" customHeight="1" x14ac:dyDescent="0.3">
      <c r="A80" s="62">
        <f t="shared" si="9"/>
        <v>1.1000000000000001</v>
      </c>
      <c r="B80" s="63" t="s">
        <v>65</v>
      </c>
      <c r="C80" s="64">
        <f>+ROUND(C71*0.9,2)</f>
        <v>53.55</v>
      </c>
      <c r="D80" s="64" t="s">
        <v>57</v>
      </c>
      <c r="E80" s="65"/>
      <c r="F80" s="65"/>
      <c r="G80" s="66"/>
    </row>
    <row r="81" spans="1:7" s="3" customFormat="1" ht="21" thickBot="1" x14ac:dyDescent="0.35">
      <c r="A81" s="73"/>
      <c r="B81" s="74"/>
      <c r="C81" s="75"/>
      <c r="D81" s="75"/>
      <c r="E81" s="75"/>
      <c r="F81" s="75"/>
      <c r="G81" s="70"/>
    </row>
    <row r="82" spans="1:7" s="3" customFormat="1" ht="62.25" customHeight="1" thickBot="1" x14ac:dyDescent="0.35">
      <c r="A82" s="26">
        <v>2</v>
      </c>
      <c r="B82" s="27" t="s">
        <v>66</v>
      </c>
      <c r="C82" s="60"/>
      <c r="D82" s="60"/>
      <c r="E82" s="60"/>
      <c r="F82" s="60"/>
      <c r="G82" s="61"/>
    </row>
    <row r="83" spans="1:7" s="3" customFormat="1" ht="39" customHeight="1" x14ac:dyDescent="0.3">
      <c r="A83" s="62">
        <f>+A82+0.01</f>
        <v>2.0099999999999998</v>
      </c>
      <c r="B83" s="63" t="s">
        <v>67</v>
      </c>
      <c r="C83" s="64">
        <f>+ROUND(11.5*2*0.6,2)</f>
        <v>13.8</v>
      </c>
      <c r="D83" s="64" t="s">
        <v>33</v>
      </c>
      <c r="E83" s="65"/>
      <c r="F83" s="65"/>
      <c r="G83" s="66"/>
    </row>
    <row r="84" spans="1:7" s="3" customFormat="1" ht="29.25" customHeight="1" x14ac:dyDescent="0.3">
      <c r="A84" s="62">
        <f t="shared" ref="A84:A86" si="10">+A83+0.01</f>
        <v>2.0199999999999996</v>
      </c>
      <c r="B84" s="63" t="s">
        <v>34</v>
      </c>
      <c r="C84" s="64">
        <f>ROUNDUP(C83*1.2,2)</f>
        <v>16.559999999999999</v>
      </c>
      <c r="D84" s="64" t="s">
        <v>33</v>
      </c>
      <c r="E84" s="65"/>
      <c r="F84" s="65"/>
      <c r="G84" s="66"/>
    </row>
    <row r="85" spans="1:7" s="3" customFormat="1" ht="29.25" customHeight="1" x14ac:dyDescent="0.3">
      <c r="A85" s="62">
        <f t="shared" si="10"/>
        <v>2.0299999999999994</v>
      </c>
      <c r="B85" s="63" t="s">
        <v>68</v>
      </c>
      <c r="C85" s="64">
        <f>+ROUND(11.5*2*0.35,2)</f>
        <v>8.0500000000000007</v>
      </c>
      <c r="D85" s="64" t="s">
        <v>33</v>
      </c>
      <c r="E85" s="65"/>
      <c r="F85" s="65"/>
      <c r="G85" s="66"/>
    </row>
    <row r="86" spans="1:7" s="3" customFormat="1" ht="44.25" customHeight="1" x14ac:dyDescent="0.3">
      <c r="A86" s="62">
        <f t="shared" si="10"/>
        <v>2.0399999999999991</v>
      </c>
      <c r="B86" s="63" t="s">
        <v>69</v>
      </c>
      <c r="C86" s="64">
        <f>+ROUND(11.5*2*0.25,2)</f>
        <v>5.75</v>
      </c>
      <c r="D86" s="64" t="s">
        <v>33</v>
      </c>
      <c r="E86" s="65"/>
      <c r="F86" s="65"/>
      <c r="G86" s="66"/>
    </row>
    <row r="87" spans="1:7" s="3" customFormat="1" ht="24" customHeight="1" thickBot="1" x14ac:dyDescent="0.35">
      <c r="A87" s="67"/>
      <c r="B87" s="68"/>
      <c r="C87" s="69"/>
      <c r="D87" s="69"/>
      <c r="E87" s="69"/>
      <c r="F87" s="69"/>
      <c r="G87" s="76"/>
    </row>
    <row r="88" spans="1:7" s="3" customFormat="1" ht="61.5" customHeight="1" thickBot="1" x14ac:dyDescent="0.35">
      <c r="A88" s="26">
        <v>3</v>
      </c>
      <c r="B88" s="27" t="s">
        <v>70</v>
      </c>
      <c r="C88" s="60"/>
      <c r="D88" s="60"/>
      <c r="E88" s="60"/>
      <c r="F88" s="60"/>
      <c r="G88" s="61"/>
    </row>
    <row r="89" spans="1:7" s="3" customFormat="1" x14ac:dyDescent="0.3">
      <c r="A89" s="62">
        <f>+A88+0.01</f>
        <v>3.01</v>
      </c>
      <c r="B89" s="63" t="s">
        <v>71</v>
      </c>
      <c r="C89" s="64">
        <f>+ROUND(11.8*2*0.6,2)</f>
        <v>14.16</v>
      </c>
      <c r="D89" s="64" t="s">
        <v>33</v>
      </c>
      <c r="E89" s="65"/>
      <c r="F89" s="65"/>
      <c r="G89" s="66"/>
    </row>
    <row r="90" spans="1:7" s="3" customFormat="1" x14ac:dyDescent="0.3">
      <c r="A90" s="62">
        <f t="shared" ref="A90:A92" si="11">+A89+0.01</f>
        <v>3.0199999999999996</v>
      </c>
      <c r="B90" s="63" t="s">
        <v>34</v>
      </c>
      <c r="C90" s="64">
        <f>ROUNDUP(C89*1.2,2)</f>
        <v>17</v>
      </c>
      <c r="D90" s="64" t="s">
        <v>33</v>
      </c>
      <c r="E90" s="65"/>
      <c r="F90" s="65"/>
      <c r="G90" s="66"/>
    </row>
    <row r="91" spans="1:7" s="3" customFormat="1" x14ac:dyDescent="0.3">
      <c r="A91" s="62">
        <f t="shared" si="11"/>
        <v>3.0299999999999994</v>
      </c>
      <c r="B91" s="63" t="s">
        <v>72</v>
      </c>
      <c r="C91" s="64">
        <f>+ROUND(11.8*2*0.35,2)</f>
        <v>8.26</v>
      </c>
      <c r="D91" s="64" t="s">
        <v>33</v>
      </c>
      <c r="E91" s="65"/>
      <c r="F91" s="65"/>
      <c r="G91" s="66"/>
    </row>
    <row r="92" spans="1:7" s="3" customFormat="1" ht="37.5" x14ac:dyDescent="0.3">
      <c r="A92" s="62">
        <f t="shared" si="11"/>
        <v>3.0399999999999991</v>
      </c>
      <c r="B92" s="63" t="s">
        <v>73</v>
      </c>
      <c r="C92" s="64">
        <f>+ROUND(11.8*2*0.25,2)</f>
        <v>5.9</v>
      </c>
      <c r="D92" s="64" t="s">
        <v>33</v>
      </c>
      <c r="E92" s="65"/>
      <c r="F92" s="65"/>
      <c r="G92" s="66"/>
    </row>
    <row r="93" spans="1:7" s="3" customFormat="1" ht="21" thickBot="1" x14ac:dyDescent="0.35">
      <c r="A93" s="67"/>
      <c r="B93" s="68"/>
      <c r="C93" s="69"/>
      <c r="D93" s="69"/>
      <c r="E93" s="69"/>
      <c r="F93" s="69"/>
      <c r="G93" s="70"/>
    </row>
    <row r="94" spans="1:7" s="71" customFormat="1" ht="21" thickBot="1" x14ac:dyDescent="0.35">
      <c r="A94" s="26"/>
      <c r="B94" s="59" t="s">
        <v>106</v>
      </c>
      <c r="C94" s="60"/>
      <c r="D94" s="60"/>
      <c r="E94" s="60"/>
      <c r="F94" s="60"/>
      <c r="G94" s="61"/>
    </row>
    <row r="95" spans="1:7" s="71" customFormat="1" ht="38.25" thickBot="1" x14ac:dyDescent="0.35">
      <c r="A95" s="26">
        <v>1</v>
      </c>
      <c r="B95" s="27" t="s">
        <v>105</v>
      </c>
      <c r="C95" s="60"/>
      <c r="D95" s="60"/>
      <c r="E95" s="60"/>
      <c r="F95" s="60"/>
      <c r="G95" s="61"/>
    </row>
    <row r="96" spans="1:7" s="71" customFormat="1" x14ac:dyDescent="0.3">
      <c r="A96" s="62">
        <f>+A95+0.01</f>
        <v>1.01</v>
      </c>
      <c r="B96" s="63" t="s">
        <v>36</v>
      </c>
      <c r="C96" s="64">
        <f>+ROUND(8*2*0.6,2)</f>
        <v>9.6</v>
      </c>
      <c r="D96" s="64" t="s">
        <v>33</v>
      </c>
      <c r="E96" s="65"/>
      <c r="F96" s="65"/>
      <c r="G96" s="66"/>
    </row>
    <row r="97" spans="1:7" s="71" customFormat="1" x14ac:dyDescent="0.3">
      <c r="A97" s="62">
        <f t="shared" ref="A97:A99" si="12">+A96+0.01</f>
        <v>1.02</v>
      </c>
      <c r="B97" s="63" t="s">
        <v>34</v>
      </c>
      <c r="C97" s="64">
        <f>ROUNDUP(C96*1.2,2)</f>
        <v>11.52</v>
      </c>
      <c r="D97" s="64" t="s">
        <v>33</v>
      </c>
      <c r="E97" s="65"/>
      <c r="F97" s="65"/>
      <c r="G97" s="66"/>
    </row>
    <row r="98" spans="1:7" s="71" customFormat="1" x14ac:dyDescent="0.3">
      <c r="A98" s="62">
        <f t="shared" si="12"/>
        <v>1.03</v>
      </c>
      <c r="B98" s="63" t="s">
        <v>37</v>
      </c>
      <c r="C98" s="64">
        <f>+ROUND(8*2*0.35,2)</f>
        <v>5.6</v>
      </c>
      <c r="D98" s="64" t="s">
        <v>33</v>
      </c>
      <c r="E98" s="65"/>
      <c r="F98" s="65"/>
      <c r="G98" s="66"/>
    </row>
    <row r="99" spans="1:7" s="71" customFormat="1" ht="37.5" x14ac:dyDescent="0.3">
      <c r="A99" s="62">
        <f t="shared" si="12"/>
        <v>1.04</v>
      </c>
      <c r="B99" s="63" t="s">
        <v>38</v>
      </c>
      <c r="C99" s="64">
        <f>+ROUND(8*2*0.25,2)</f>
        <v>4</v>
      </c>
      <c r="D99" s="64" t="s">
        <v>33</v>
      </c>
      <c r="E99" s="65"/>
      <c r="F99" s="65"/>
      <c r="G99" s="66"/>
    </row>
    <row r="100" spans="1:7" s="71" customFormat="1" ht="21" thickBot="1" x14ac:dyDescent="0.35">
      <c r="A100" s="67"/>
      <c r="B100" s="68"/>
      <c r="C100" s="69"/>
      <c r="D100" s="69"/>
      <c r="E100" s="69"/>
      <c r="F100" s="69"/>
      <c r="G100" s="70"/>
    </row>
    <row r="101" spans="1:7" s="71" customFormat="1" ht="38.25" thickBot="1" x14ac:dyDescent="0.35">
      <c r="A101" s="26">
        <v>2</v>
      </c>
      <c r="B101" s="27" t="s">
        <v>110</v>
      </c>
      <c r="C101" s="60"/>
      <c r="D101" s="60"/>
      <c r="E101" s="60"/>
      <c r="F101" s="60"/>
      <c r="G101" s="61"/>
    </row>
    <row r="102" spans="1:7" s="71" customFormat="1" x14ac:dyDescent="0.3">
      <c r="A102" s="62">
        <f>+A101+0.01</f>
        <v>2.0099999999999998</v>
      </c>
      <c r="B102" s="63" t="s">
        <v>107</v>
      </c>
      <c r="C102" s="64">
        <f>+ROUND(7*4.8*0.6,2)</f>
        <v>20.16</v>
      </c>
      <c r="D102" s="64" t="s">
        <v>33</v>
      </c>
      <c r="E102" s="65"/>
      <c r="F102" s="65"/>
      <c r="G102" s="66"/>
    </row>
    <row r="103" spans="1:7" s="71" customFormat="1" x14ac:dyDescent="0.3">
      <c r="A103" s="62">
        <f t="shared" ref="A103:A105" si="13">+A102+0.01</f>
        <v>2.0199999999999996</v>
      </c>
      <c r="B103" s="63" t="s">
        <v>34</v>
      </c>
      <c r="C103" s="64">
        <f>ROUNDUP(C102*1.2,2)</f>
        <v>24.200000000000003</v>
      </c>
      <c r="D103" s="64" t="s">
        <v>33</v>
      </c>
      <c r="E103" s="65"/>
      <c r="F103" s="65"/>
      <c r="G103" s="66"/>
    </row>
    <row r="104" spans="1:7" s="71" customFormat="1" x14ac:dyDescent="0.3">
      <c r="A104" s="62">
        <f t="shared" si="13"/>
        <v>2.0299999999999994</v>
      </c>
      <c r="B104" s="63" t="s">
        <v>108</v>
      </c>
      <c r="C104" s="64">
        <f>+ROUND(7*4.8*0.35,2)</f>
        <v>11.76</v>
      </c>
      <c r="D104" s="64" t="s">
        <v>33</v>
      </c>
      <c r="E104" s="65"/>
      <c r="F104" s="65"/>
      <c r="G104" s="66"/>
    </row>
    <row r="105" spans="1:7" s="71" customFormat="1" ht="37.5" x14ac:dyDescent="0.3">
      <c r="A105" s="62">
        <f t="shared" si="13"/>
        <v>2.0399999999999991</v>
      </c>
      <c r="B105" s="63" t="s">
        <v>109</v>
      </c>
      <c r="C105" s="64">
        <f>+ROUND(7*4.8*0.25,2)</f>
        <v>8.4</v>
      </c>
      <c r="D105" s="64" t="s">
        <v>33</v>
      </c>
      <c r="E105" s="65"/>
      <c r="F105" s="65"/>
      <c r="G105" s="66"/>
    </row>
    <row r="106" spans="1:7" s="71" customFormat="1" ht="21" thickBot="1" x14ac:dyDescent="0.35">
      <c r="A106" s="67"/>
      <c r="B106" s="68"/>
      <c r="C106" s="69"/>
      <c r="D106" s="69"/>
      <c r="E106" s="69"/>
      <c r="F106" s="69"/>
      <c r="G106" s="70"/>
    </row>
    <row r="107" spans="1:7" s="3" customFormat="1" ht="21" thickBot="1" x14ac:dyDescent="0.35">
      <c r="A107" s="26"/>
      <c r="B107" s="59" t="s">
        <v>52</v>
      </c>
      <c r="C107" s="60"/>
      <c r="D107" s="60"/>
      <c r="E107" s="60"/>
      <c r="F107" s="60"/>
      <c r="G107" s="61"/>
    </row>
    <row r="108" spans="1:7" s="3" customFormat="1" ht="38.25" thickBot="1" x14ac:dyDescent="0.35">
      <c r="A108" s="26">
        <v>1</v>
      </c>
      <c r="B108" s="27" t="s">
        <v>35</v>
      </c>
      <c r="C108" s="60"/>
      <c r="D108" s="60"/>
      <c r="E108" s="60"/>
      <c r="F108" s="60"/>
      <c r="G108" s="61"/>
    </row>
    <row r="109" spans="1:7" s="3" customFormat="1" ht="40.5" customHeight="1" x14ac:dyDescent="0.3">
      <c r="A109" s="62">
        <f>+A108+0.01</f>
        <v>1.01</v>
      </c>
      <c r="B109" s="63" t="s">
        <v>36</v>
      </c>
      <c r="C109" s="64">
        <f>+ROUND(8*2*0.6,2)</f>
        <v>9.6</v>
      </c>
      <c r="D109" s="64" t="s">
        <v>33</v>
      </c>
      <c r="E109" s="65"/>
      <c r="F109" s="65"/>
      <c r="G109" s="66"/>
    </row>
    <row r="110" spans="1:7" s="3" customFormat="1" ht="30" customHeight="1" x14ac:dyDescent="0.3">
      <c r="A110" s="62">
        <f t="shared" ref="A110:A112" si="14">+A109+0.01</f>
        <v>1.02</v>
      </c>
      <c r="B110" s="63" t="s">
        <v>34</v>
      </c>
      <c r="C110" s="64">
        <f>ROUNDUP(C109*1.2,2)</f>
        <v>11.52</v>
      </c>
      <c r="D110" s="64" t="s">
        <v>33</v>
      </c>
      <c r="E110" s="65"/>
      <c r="F110" s="65"/>
      <c r="G110" s="66"/>
    </row>
    <row r="111" spans="1:7" s="3" customFormat="1" ht="24.75" customHeight="1" x14ac:dyDescent="0.3">
      <c r="A111" s="62">
        <f t="shared" si="14"/>
        <v>1.03</v>
      </c>
      <c r="B111" s="63" t="s">
        <v>37</v>
      </c>
      <c r="C111" s="64">
        <f>+ROUND(8*2*0.35,2)</f>
        <v>5.6</v>
      </c>
      <c r="D111" s="64" t="s">
        <v>33</v>
      </c>
      <c r="E111" s="65"/>
      <c r="F111" s="65"/>
      <c r="G111" s="66"/>
    </row>
    <row r="112" spans="1:7" s="3" customFormat="1" ht="45.75" customHeight="1" x14ac:dyDescent="0.3">
      <c r="A112" s="62">
        <f t="shared" si="14"/>
        <v>1.04</v>
      </c>
      <c r="B112" s="63" t="s">
        <v>38</v>
      </c>
      <c r="C112" s="64">
        <f>+ROUND(8*2*0.25,2)</f>
        <v>4</v>
      </c>
      <c r="D112" s="64" t="s">
        <v>33</v>
      </c>
      <c r="E112" s="65"/>
      <c r="F112" s="65"/>
      <c r="G112" s="66"/>
    </row>
    <row r="113" spans="1:7" s="3" customFormat="1" ht="21" thickBot="1" x14ac:dyDescent="0.35">
      <c r="A113" s="67"/>
      <c r="B113" s="68"/>
      <c r="C113" s="69"/>
      <c r="D113" s="69"/>
      <c r="E113" s="69"/>
      <c r="F113" s="69"/>
      <c r="G113" s="70"/>
    </row>
    <row r="114" spans="1:7" s="3" customFormat="1" ht="49.5" customHeight="1" thickBot="1" x14ac:dyDescent="0.35">
      <c r="A114" s="26">
        <v>2</v>
      </c>
      <c r="B114" s="27" t="s">
        <v>43</v>
      </c>
      <c r="C114" s="60"/>
      <c r="D114" s="60"/>
      <c r="E114" s="60"/>
      <c r="F114" s="60"/>
      <c r="G114" s="61"/>
    </row>
    <row r="115" spans="1:7" s="3" customFormat="1" ht="42" customHeight="1" x14ac:dyDescent="0.3">
      <c r="A115" s="62">
        <f>+A114+0.01</f>
        <v>2.0099999999999998</v>
      </c>
      <c r="B115" s="63" t="s">
        <v>44</v>
      </c>
      <c r="C115" s="64">
        <f>+ROUND(10*2*0.6,2)</f>
        <v>12</v>
      </c>
      <c r="D115" s="64" t="s">
        <v>33</v>
      </c>
      <c r="E115" s="65"/>
      <c r="F115" s="65"/>
      <c r="G115" s="66"/>
    </row>
    <row r="116" spans="1:7" s="3" customFormat="1" ht="26.25" customHeight="1" x14ac:dyDescent="0.3">
      <c r="A116" s="62">
        <f t="shared" ref="A116:A118" si="15">+A115+0.01</f>
        <v>2.0199999999999996</v>
      </c>
      <c r="B116" s="63" t="s">
        <v>34</v>
      </c>
      <c r="C116" s="64">
        <f>ROUNDUP(C115*1.2,2)</f>
        <v>14.4</v>
      </c>
      <c r="D116" s="64" t="s">
        <v>33</v>
      </c>
      <c r="E116" s="65"/>
      <c r="F116" s="65"/>
      <c r="G116" s="66"/>
    </row>
    <row r="117" spans="1:7" s="3" customFormat="1" ht="26.25" customHeight="1" x14ac:dyDescent="0.3">
      <c r="A117" s="62">
        <f t="shared" si="15"/>
        <v>2.0299999999999994</v>
      </c>
      <c r="B117" s="63" t="s">
        <v>45</v>
      </c>
      <c r="C117" s="64">
        <f>+ROUND(10*2*0.35,2)</f>
        <v>7</v>
      </c>
      <c r="D117" s="64" t="s">
        <v>33</v>
      </c>
      <c r="E117" s="65"/>
      <c r="F117" s="65"/>
      <c r="G117" s="66"/>
    </row>
    <row r="118" spans="1:7" s="3" customFormat="1" ht="45" customHeight="1" x14ac:dyDescent="0.3">
      <c r="A118" s="62">
        <f t="shared" si="15"/>
        <v>2.0399999999999991</v>
      </c>
      <c r="B118" s="63" t="s">
        <v>46</v>
      </c>
      <c r="C118" s="64">
        <f>+ROUND(10*2*0.25,2)</f>
        <v>5</v>
      </c>
      <c r="D118" s="64" t="s">
        <v>33</v>
      </c>
      <c r="E118" s="65"/>
      <c r="F118" s="65"/>
      <c r="G118" s="66"/>
    </row>
    <row r="119" spans="1:7" s="3" customFormat="1" ht="21" thickBot="1" x14ac:dyDescent="0.35">
      <c r="A119" s="67"/>
      <c r="B119" s="68"/>
      <c r="C119" s="69"/>
      <c r="D119" s="69"/>
      <c r="E119" s="69"/>
      <c r="F119" s="69"/>
      <c r="G119" s="70"/>
    </row>
    <row r="120" spans="1:7" s="3" customFormat="1" ht="38.25" thickBot="1" x14ac:dyDescent="0.35">
      <c r="A120" s="26">
        <v>3</v>
      </c>
      <c r="B120" s="27" t="s">
        <v>39</v>
      </c>
      <c r="C120" s="60"/>
      <c r="D120" s="60"/>
      <c r="E120" s="60"/>
      <c r="F120" s="60"/>
      <c r="G120" s="61"/>
    </row>
    <row r="121" spans="1:7" s="3" customFormat="1" ht="36.75" customHeight="1" x14ac:dyDescent="0.3">
      <c r="A121" s="62">
        <f>+A120+0.01</f>
        <v>3.01</v>
      </c>
      <c r="B121" s="63" t="s">
        <v>40</v>
      </c>
      <c r="C121" s="64">
        <f>+ROUND(11*3*0.6,2)</f>
        <v>19.8</v>
      </c>
      <c r="D121" s="64" t="s">
        <v>33</v>
      </c>
      <c r="E121" s="65"/>
      <c r="F121" s="65"/>
      <c r="G121" s="66"/>
    </row>
    <row r="122" spans="1:7" s="3" customFormat="1" ht="30.75" customHeight="1" x14ac:dyDescent="0.3">
      <c r="A122" s="62">
        <f t="shared" ref="A122:A124" si="16">+A121+0.01</f>
        <v>3.0199999999999996</v>
      </c>
      <c r="B122" s="63" t="s">
        <v>34</v>
      </c>
      <c r="C122" s="64">
        <f>ROUNDUP(C121*1.2,2)</f>
        <v>23.76</v>
      </c>
      <c r="D122" s="64" t="s">
        <v>33</v>
      </c>
      <c r="E122" s="65"/>
      <c r="F122" s="65"/>
      <c r="G122" s="66"/>
    </row>
    <row r="123" spans="1:7" s="3" customFormat="1" ht="26.25" customHeight="1" x14ac:dyDescent="0.3">
      <c r="A123" s="62">
        <f t="shared" si="16"/>
        <v>3.0299999999999994</v>
      </c>
      <c r="B123" s="63" t="s">
        <v>41</v>
      </c>
      <c r="C123" s="64">
        <f>+ROUND(11*3*0.35,2)</f>
        <v>11.55</v>
      </c>
      <c r="D123" s="64" t="s">
        <v>33</v>
      </c>
      <c r="E123" s="65"/>
      <c r="F123" s="65"/>
      <c r="G123" s="66"/>
    </row>
    <row r="124" spans="1:7" s="3" customFormat="1" ht="48.75" customHeight="1" x14ac:dyDescent="0.3">
      <c r="A124" s="62">
        <f t="shared" si="16"/>
        <v>3.0399999999999991</v>
      </c>
      <c r="B124" s="63" t="s">
        <v>42</v>
      </c>
      <c r="C124" s="64">
        <f>+ROUND(11*3*0.25,2)</f>
        <v>8.25</v>
      </c>
      <c r="D124" s="64" t="s">
        <v>33</v>
      </c>
      <c r="E124" s="65"/>
      <c r="F124" s="65"/>
      <c r="G124" s="66"/>
    </row>
    <row r="125" spans="1:7" s="3" customFormat="1" ht="21" thickBot="1" x14ac:dyDescent="0.35">
      <c r="A125" s="67"/>
      <c r="B125" s="68"/>
      <c r="C125" s="69"/>
      <c r="D125" s="69"/>
      <c r="E125" s="69"/>
      <c r="F125" s="69"/>
      <c r="G125" s="70"/>
    </row>
    <row r="126" spans="1:7" s="3" customFormat="1" ht="21" thickBot="1" x14ac:dyDescent="0.35">
      <c r="A126" s="26"/>
      <c r="B126" s="59" t="s">
        <v>92</v>
      </c>
      <c r="C126" s="60"/>
      <c r="D126" s="60"/>
      <c r="E126" s="60"/>
      <c r="F126" s="60"/>
      <c r="G126" s="61"/>
    </row>
    <row r="127" spans="1:7" s="3" customFormat="1" ht="62.25" customHeight="1" thickBot="1" x14ac:dyDescent="0.35">
      <c r="A127" s="26">
        <v>1</v>
      </c>
      <c r="B127" s="27" t="s">
        <v>88</v>
      </c>
      <c r="C127" s="60"/>
      <c r="D127" s="60"/>
      <c r="E127" s="60"/>
      <c r="F127" s="60"/>
      <c r="G127" s="61"/>
    </row>
    <row r="128" spans="1:7" s="3" customFormat="1" ht="39" customHeight="1" x14ac:dyDescent="0.3">
      <c r="A128" s="62">
        <f>+A127+0.01</f>
        <v>1.01</v>
      </c>
      <c r="B128" s="63" t="s">
        <v>89</v>
      </c>
      <c r="C128" s="64">
        <f>+ROUND(10*3*0.6,2)</f>
        <v>18</v>
      </c>
      <c r="D128" s="64" t="s">
        <v>33</v>
      </c>
      <c r="E128" s="65"/>
      <c r="F128" s="65"/>
      <c r="G128" s="66"/>
    </row>
    <row r="129" spans="1:7" s="3" customFormat="1" ht="30.75" customHeight="1" x14ac:dyDescent="0.3">
      <c r="A129" s="62">
        <f t="shared" ref="A129:A131" si="17">+A128+0.01</f>
        <v>1.02</v>
      </c>
      <c r="B129" s="63" t="s">
        <v>34</v>
      </c>
      <c r="C129" s="64">
        <f>ROUNDUP(C128*1.2,2)</f>
        <v>21.6</v>
      </c>
      <c r="D129" s="64" t="s">
        <v>33</v>
      </c>
      <c r="E129" s="65"/>
      <c r="F129" s="65"/>
      <c r="G129" s="66"/>
    </row>
    <row r="130" spans="1:7" s="3" customFormat="1" ht="26.25" customHeight="1" x14ac:dyDescent="0.3">
      <c r="A130" s="62">
        <f t="shared" si="17"/>
        <v>1.03</v>
      </c>
      <c r="B130" s="63" t="s">
        <v>90</v>
      </c>
      <c r="C130" s="64">
        <f>+ROUND(10*3*0.35,2)</f>
        <v>10.5</v>
      </c>
      <c r="D130" s="64" t="s">
        <v>33</v>
      </c>
      <c r="E130" s="65"/>
      <c r="F130" s="65"/>
      <c r="G130" s="66"/>
    </row>
    <row r="131" spans="1:7" s="3" customFormat="1" ht="48.75" customHeight="1" x14ac:dyDescent="0.3">
      <c r="A131" s="62">
        <f t="shared" si="17"/>
        <v>1.04</v>
      </c>
      <c r="B131" s="63" t="s">
        <v>91</v>
      </c>
      <c r="C131" s="64">
        <f>+ROUND(10*3*0.25,2)</f>
        <v>7.5</v>
      </c>
      <c r="D131" s="64" t="s">
        <v>33</v>
      </c>
      <c r="E131" s="65"/>
      <c r="F131" s="65"/>
      <c r="G131" s="66"/>
    </row>
    <row r="132" spans="1:7" s="3" customFormat="1" ht="21" thickBot="1" x14ac:dyDescent="0.35">
      <c r="A132" s="67"/>
      <c r="B132" s="68"/>
      <c r="C132" s="69"/>
      <c r="D132" s="69"/>
      <c r="E132" s="69"/>
      <c r="F132" s="69"/>
      <c r="G132" s="70"/>
    </row>
    <row r="133" spans="1:7" s="71" customFormat="1" ht="21" thickBot="1" x14ac:dyDescent="0.35">
      <c r="A133" s="26"/>
      <c r="B133" s="59" t="s">
        <v>119</v>
      </c>
      <c r="C133" s="60"/>
      <c r="D133" s="60"/>
      <c r="E133" s="60"/>
      <c r="F133" s="60"/>
      <c r="G133" s="61"/>
    </row>
    <row r="134" spans="1:7" s="71" customFormat="1" ht="56.25" x14ac:dyDescent="0.3">
      <c r="A134" s="77">
        <v>1</v>
      </c>
      <c r="B134" s="53" t="s">
        <v>120</v>
      </c>
      <c r="C134" s="69"/>
      <c r="D134" s="69"/>
      <c r="E134" s="69"/>
      <c r="F134" s="69"/>
      <c r="G134" s="66"/>
    </row>
    <row r="135" spans="1:7" s="71" customFormat="1" x14ac:dyDescent="0.3">
      <c r="A135" s="62">
        <v>1.01</v>
      </c>
      <c r="B135" s="63" t="s">
        <v>121</v>
      </c>
      <c r="C135" s="64">
        <f>+ROUND(14*4*0.6,2)</f>
        <v>33.6</v>
      </c>
      <c r="D135" s="64" t="s">
        <v>47</v>
      </c>
      <c r="E135" s="65"/>
      <c r="F135" s="65"/>
      <c r="G135" s="66"/>
    </row>
    <row r="136" spans="1:7" s="71" customFormat="1" x14ac:dyDescent="0.3">
      <c r="A136" s="62">
        <f t="shared" ref="A136:A138" si="18">+A135+0.01</f>
        <v>1.02</v>
      </c>
      <c r="B136" s="63" t="s">
        <v>48</v>
      </c>
      <c r="C136" s="64">
        <f>+ROUND(C135*1.2,2)</f>
        <v>40.32</v>
      </c>
      <c r="D136" s="64" t="s">
        <v>47</v>
      </c>
      <c r="E136" s="65"/>
      <c r="F136" s="65"/>
      <c r="G136" s="66"/>
    </row>
    <row r="137" spans="1:7" s="71" customFormat="1" ht="37.5" x14ac:dyDescent="0.3">
      <c r="A137" s="62">
        <f t="shared" si="18"/>
        <v>1.03</v>
      </c>
      <c r="B137" s="63" t="s">
        <v>122</v>
      </c>
      <c r="C137" s="64">
        <f>+ROUND(14*4*0.35,2)</f>
        <v>19.600000000000001</v>
      </c>
      <c r="D137" s="64" t="s">
        <v>47</v>
      </c>
      <c r="E137" s="65"/>
      <c r="F137" s="65"/>
      <c r="G137" s="66"/>
    </row>
    <row r="138" spans="1:7" s="71" customFormat="1" ht="37.5" x14ac:dyDescent="0.3">
      <c r="A138" s="62">
        <f t="shared" si="18"/>
        <v>1.04</v>
      </c>
      <c r="B138" s="63" t="s">
        <v>123</v>
      </c>
      <c r="C138" s="64">
        <f>+ROUND(14*4*0.25,2)</f>
        <v>14</v>
      </c>
      <c r="D138" s="64" t="s">
        <v>47</v>
      </c>
      <c r="E138" s="65"/>
      <c r="F138" s="65"/>
      <c r="G138" s="66"/>
    </row>
    <row r="139" spans="1:7" s="71" customFormat="1" x14ac:dyDescent="0.3">
      <c r="A139" s="72"/>
      <c r="B139" s="60"/>
      <c r="C139" s="60"/>
      <c r="D139" s="60"/>
      <c r="E139" s="60"/>
      <c r="F139" s="60"/>
      <c r="G139" s="70"/>
    </row>
    <row r="140" spans="1:7" s="71" customFormat="1" ht="56.25" x14ac:dyDescent="0.3">
      <c r="A140" s="77">
        <v>2</v>
      </c>
      <c r="B140" s="53" t="s">
        <v>124</v>
      </c>
      <c r="C140" s="69"/>
      <c r="D140" s="69"/>
      <c r="E140" s="69"/>
      <c r="F140" s="69"/>
      <c r="G140" s="66"/>
    </row>
    <row r="141" spans="1:7" s="71" customFormat="1" x14ac:dyDescent="0.3">
      <c r="A141" s="62">
        <f>+A140+0.01</f>
        <v>2.0099999999999998</v>
      </c>
      <c r="B141" s="63" t="s">
        <v>125</v>
      </c>
      <c r="C141" s="64">
        <f>+ROUND(10*1.5*0.6,2)</f>
        <v>9</v>
      </c>
      <c r="D141" s="64" t="s">
        <v>47</v>
      </c>
      <c r="E141" s="65"/>
      <c r="F141" s="65"/>
      <c r="G141" s="66"/>
    </row>
    <row r="142" spans="1:7" s="71" customFormat="1" x14ac:dyDescent="0.3">
      <c r="A142" s="62">
        <f>+A141+0.01</f>
        <v>2.0199999999999996</v>
      </c>
      <c r="B142" s="63" t="s">
        <v>48</v>
      </c>
      <c r="C142" s="64">
        <f>+ROUND(C141*1.2,2)</f>
        <v>10.8</v>
      </c>
      <c r="D142" s="64" t="s">
        <v>47</v>
      </c>
      <c r="E142" s="65"/>
      <c r="F142" s="65"/>
      <c r="G142" s="66"/>
    </row>
    <row r="143" spans="1:7" s="71" customFormat="1" ht="37.5" x14ac:dyDescent="0.3">
      <c r="A143" s="62">
        <f>+A142+0.01</f>
        <v>2.0299999999999994</v>
      </c>
      <c r="B143" s="63" t="s">
        <v>126</v>
      </c>
      <c r="C143" s="64">
        <f>+ROUND(10*1.5*0.35,2)</f>
        <v>5.25</v>
      </c>
      <c r="D143" s="64" t="s">
        <v>47</v>
      </c>
      <c r="E143" s="65"/>
      <c r="F143" s="65"/>
      <c r="G143" s="66"/>
    </row>
    <row r="144" spans="1:7" s="71" customFormat="1" ht="37.5" x14ac:dyDescent="0.3">
      <c r="A144" s="62">
        <f>+A143+0.01</f>
        <v>2.0399999999999991</v>
      </c>
      <c r="B144" s="63" t="s">
        <v>127</v>
      </c>
      <c r="C144" s="64">
        <f>+ROUND(10*1.5*0.25,2)</f>
        <v>3.75</v>
      </c>
      <c r="D144" s="64" t="s">
        <v>47</v>
      </c>
      <c r="E144" s="65"/>
      <c r="F144" s="65"/>
      <c r="G144" s="66"/>
    </row>
    <row r="145" spans="1:7" s="71" customFormat="1" ht="21" thickBot="1" x14ac:dyDescent="0.35">
      <c r="A145" s="72"/>
      <c r="B145" s="60"/>
      <c r="C145" s="60"/>
      <c r="D145" s="60"/>
      <c r="E145" s="60"/>
      <c r="F145" s="60"/>
      <c r="G145" s="70"/>
    </row>
    <row r="146" spans="1:7" s="71" customFormat="1" ht="21" thickBot="1" x14ac:dyDescent="0.35">
      <c r="A146" s="26"/>
      <c r="B146" s="59" t="s">
        <v>104</v>
      </c>
      <c r="C146" s="60"/>
      <c r="D146" s="60"/>
      <c r="E146" s="60"/>
      <c r="F146" s="60"/>
      <c r="G146" s="61"/>
    </row>
    <row r="147" spans="1:7" s="71" customFormat="1" ht="57" thickBot="1" x14ac:dyDescent="0.35">
      <c r="A147" s="26">
        <v>1</v>
      </c>
      <c r="B147" s="27" t="s">
        <v>103</v>
      </c>
      <c r="C147" s="60"/>
      <c r="D147" s="60"/>
      <c r="E147" s="60"/>
      <c r="F147" s="60"/>
      <c r="G147" s="61"/>
    </row>
    <row r="148" spans="1:7" s="71" customFormat="1" x14ac:dyDescent="0.3">
      <c r="A148" s="62">
        <f t="shared" ref="A148:A151" si="19">+A147+0.01</f>
        <v>1.01</v>
      </c>
      <c r="B148" s="63" t="s">
        <v>89</v>
      </c>
      <c r="C148" s="64">
        <f t="shared" ref="C148" si="20">+ROUND(10*3*0.6,2)</f>
        <v>18</v>
      </c>
      <c r="D148" s="64" t="s">
        <v>33</v>
      </c>
      <c r="E148" s="65"/>
      <c r="F148" s="65"/>
      <c r="G148" s="66"/>
    </row>
    <row r="149" spans="1:7" s="71" customFormat="1" x14ac:dyDescent="0.3">
      <c r="A149" s="62">
        <f t="shared" si="19"/>
        <v>1.02</v>
      </c>
      <c r="B149" s="63" t="s">
        <v>34</v>
      </c>
      <c r="C149" s="64">
        <f t="shared" ref="C149" si="21">ROUNDUP(C148*1.2,2)</f>
        <v>21.6</v>
      </c>
      <c r="D149" s="64" t="s">
        <v>33</v>
      </c>
      <c r="E149" s="65"/>
      <c r="F149" s="65"/>
      <c r="G149" s="66"/>
    </row>
    <row r="150" spans="1:7" s="71" customFormat="1" x14ac:dyDescent="0.3">
      <c r="A150" s="62">
        <f t="shared" si="19"/>
        <v>1.03</v>
      </c>
      <c r="B150" s="63" t="s">
        <v>90</v>
      </c>
      <c r="C150" s="64">
        <f t="shared" ref="C150" si="22">+ROUND(10*3*0.35,2)</f>
        <v>10.5</v>
      </c>
      <c r="D150" s="64" t="s">
        <v>33</v>
      </c>
      <c r="E150" s="65"/>
      <c r="F150" s="65"/>
      <c r="G150" s="66"/>
    </row>
    <row r="151" spans="1:7" s="71" customFormat="1" ht="37.5" x14ac:dyDescent="0.3">
      <c r="A151" s="62">
        <f t="shared" si="19"/>
        <v>1.04</v>
      </c>
      <c r="B151" s="63" t="s">
        <v>91</v>
      </c>
      <c r="C151" s="64">
        <f t="shared" ref="C151" si="23">+ROUND(10*3*0.25,2)</f>
        <v>7.5</v>
      </c>
      <c r="D151" s="64" t="s">
        <v>33</v>
      </c>
      <c r="E151" s="65"/>
      <c r="F151" s="65"/>
      <c r="G151" s="66"/>
    </row>
    <row r="152" spans="1:7" s="71" customFormat="1" x14ac:dyDescent="0.3">
      <c r="A152" s="67"/>
      <c r="B152" s="68"/>
      <c r="C152" s="69"/>
      <c r="D152" s="69"/>
      <c r="E152" s="69"/>
      <c r="F152" s="69"/>
      <c r="G152" s="70"/>
    </row>
    <row r="153" spans="1:7" s="71" customFormat="1" ht="21" thickBot="1" x14ac:dyDescent="0.35">
      <c r="A153" s="67"/>
      <c r="B153" s="68"/>
      <c r="C153" s="69"/>
      <c r="D153" s="69"/>
      <c r="E153" s="69"/>
      <c r="F153" s="69"/>
      <c r="G153" s="66"/>
    </row>
    <row r="154" spans="1:7" ht="19.5" thickBot="1" x14ac:dyDescent="0.3">
      <c r="A154" s="26"/>
      <c r="B154" s="59" t="s">
        <v>102</v>
      </c>
      <c r="C154" s="13"/>
      <c r="D154" s="13"/>
      <c r="E154" s="13"/>
      <c r="F154" s="13"/>
      <c r="G154" s="14"/>
    </row>
    <row r="155" spans="1:7" ht="47.25" customHeight="1" thickBot="1" x14ac:dyDescent="0.3">
      <c r="A155" s="24">
        <v>1</v>
      </c>
      <c r="B155" s="25" t="s">
        <v>93</v>
      </c>
      <c r="C155" s="13"/>
      <c r="D155" s="13"/>
      <c r="E155" s="13"/>
      <c r="F155" s="13"/>
      <c r="G155" s="14"/>
    </row>
    <row r="156" spans="1:7" ht="41.25" customHeight="1" x14ac:dyDescent="0.25">
      <c r="A156" s="15">
        <f>+A155+0.01</f>
        <v>1.01</v>
      </c>
      <c r="B156" s="16" t="s">
        <v>94</v>
      </c>
      <c r="C156" s="17">
        <f>+ROUND(8*3*0.6,2)</f>
        <v>14.4</v>
      </c>
      <c r="D156" s="17" t="s">
        <v>33</v>
      </c>
      <c r="E156" s="18"/>
      <c r="F156" s="18"/>
      <c r="G156" s="19"/>
    </row>
    <row r="157" spans="1:7" ht="23.25" customHeight="1" x14ac:dyDescent="0.25">
      <c r="A157" s="15">
        <f t="shared" ref="A157:A159" si="24">+A156+0.01</f>
        <v>1.02</v>
      </c>
      <c r="B157" s="16" t="s">
        <v>34</v>
      </c>
      <c r="C157" s="17">
        <f>ROUNDUP(C156*1.2,2)</f>
        <v>17.28</v>
      </c>
      <c r="D157" s="17" t="s">
        <v>33</v>
      </c>
      <c r="E157" s="18"/>
      <c r="F157" s="18"/>
      <c r="G157" s="19"/>
    </row>
    <row r="158" spans="1:7" ht="29.25" customHeight="1" x14ac:dyDescent="0.25">
      <c r="A158" s="15">
        <f t="shared" si="24"/>
        <v>1.03</v>
      </c>
      <c r="B158" s="16" t="s">
        <v>95</v>
      </c>
      <c r="C158" s="17">
        <f>+ROUND(8*3*0.35,2)</f>
        <v>8.4</v>
      </c>
      <c r="D158" s="17" t="s">
        <v>33</v>
      </c>
      <c r="E158" s="18"/>
      <c r="F158" s="18"/>
      <c r="G158" s="19"/>
    </row>
    <row r="159" spans="1:7" ht="48.75" customHeight="1" x14ac:dyDescent="0.25">
      <c r="A159" s="15">
        <f t="shared" si="24"/>
        <v>1.04</v>
      </c>
      <c r="B159" s="16" t="s">
        <v>96</v>
      </c>
      <c r="C159" s="17">
        <f>+ROUND(8*3*0.25,2)</f>
        <v>6</v>
      </c>
      <c r="D159" s="17" t="s">
        <v>33</v>
      </c>
      <c r="E159" s="18"/>
      <c r="F159" s="18"/>
      <c r="G159" s="19"/>
    </row>
    <row r="160" spans="1:7" ht="19.5" thickBot="1" x14ac:dyDescent="0.35">
      <c r="A160" s="20"/>
      <c r="B160" s="21"/>
      <c r="C160" s="22"/>
      <c r="D160" s="22"/>
      <c r="E160" s="22"/>
      <c r="F160" s="22"/>
      <c r="G160" s="23"/>
    </row>
    <row r="161" spans="1:7" ht="39.75" customHeight="1" thickBot="1" x14ac:dyDescent="0.3">
      <c r="A161" s="24">
        <v>2</v>
      </c>
      <c r="B161" s="25" t="s">
        <v>97</v>
      </c>
      <c r="C161" s="13"/>
      <c r="D161" s="13"/>
      <c r="E161" s="13"/>
      <c r="F161" s="13"/>
      <c r="G161" s="14"/>
    </row>
    <row r="162" spans="1:7" ht="36.75" customHeight="1" x14ac:dyDescent="0.25">
      <c r="A162" s="15">
        <f>+A161+0.01</f>
        <v>2.0099999999999998</v>
      </c>
      <c r="B162" s="16" t="s">
        <v>98</v>
      </c>
      <c r="C162" s="17">
        <f>+ROUND(9.5*3*0.6,2)</f>
        <v>17.100000000000001</v>
      </c>
      <c r="D162" s="17" t="s">
        <v>33</v>
      </c>
      <c r="E162" s="18"/>
      <c r="F162" s="18"/>
      <c r="G162" s="19"/>
    </row>
    <row r="163" spans="1:7" ht="21" customHeight="1" x14ac:dyDescent="0.25">
      <c r="A163" s="15">
        <f t="shared" ref="A163:A165" si="25">+A162+0.01</f>
        <v>2.0199999999999996</v>
      </c>
      <c r="B163" s="16" t="s">
        <v>34</v>
      </c>
      <c r="C163" s="17">
        <f>ROUNDUP(C162*1.2,2)</f>
        <v>20.52</v>
      </c>
      <c r="D163" s="17" t="s">
        <v>33</v>
      </c>
      <c r="E163" s="18"/>
      <c r="F163" s="18"/>
      <c r="G163" s="19"/>
    </row>
    <row r="164" spans="1:7" ht="20.25" customHeight="1" x14ac:dyDescent="0.25">
      <c r="A164" s="15">
        <f t="shared" si="25"/>
        <v>2.0299999999999994</v>
      </c>
      <c r="B164" s="16" t="s">
        <v>99</v>
      </c>
      <c r="C164" s="17">
        <f>+ROUND(9.5*3*0.35,2)</f>
        <v>9.98</v>
      </c>
      <c r="D164" s="17" t="s">
        <v>33</v>
      </c>
      <c r="E164" s="18"/>
      <c r="F164" s="18"/>
      <c r="G164" s="19"/>
    </row>
    <row r="165" spans="1:7" ht="44.25" customHeight="1" x14ac:dyDescent="0.25">
      <c r="A165" s="15">
        <f t="shared" si="25"/>
        <v>2.0399999999999991</v>
      </c>
      <c r="B165" s="16" t="s">
        <v>100</v>
      </c>
      <c r="C165" s="17">
        <f>+ROUND(9.5*3*0.25,2)</f>
        <v>7.13</v>
      </c>
      <c r="D165" s="17" t="s">
        <v>33</v>
      </c>
      <c r="E165" s="18"/>
      <c r="F165" s="18"/>
      <c r="G165" s="19"/>
    </row>
    <row r="166" spans="1:7" ht="19.5" thickBot="1" x14ac:dyDescent="0.35">
      <c r="A166" s="20"/>
      <c r="B166" s="21"/>
      <c r="C166" s="22"/>
      <c r="D166" s="22"/>
      <c r="E166" s="22"/>
      <c r="F166" s="22"/>
      <c r="G166" s="23"/>
    </row>
    <row r="167" spans="1:7" ht="38.25" thickBot="1" x14ac:dyDescent="0.3">
      <c r="A167" s="24">
        <v>3</v>
      </c>
      <c r="B167" s="25" t="s">
        <v>101</v>
      </c>
      <c r="C167" s="13"/>
      <c r="D167" s="13"/>
      <c r="E167" s="13"/>
      <c r="F167" s="13"/>
      <c r="G167" s="14"/>
    </row>
    <row r="168" spans="1:7" ht="36.75" customHeight="1" x14ac:dyDescent="0.25">
      <c r="A168" s="15">
        <f>+A167+0.01</f>
        <v>3.01</v>
      </c>
      <c r="B168" s="16" t="s">
        <v>94</v>
      </c>
      <c r="C168" s="17">
        <f>+ROUND(8*3*0.6,2)</f>
        <v>14.4</v>
      </c>
      <c r="D168" s="17" t="s">
        <v>33</v>
      </c>
      <c r="E168" s="18"/>
      <c r="F168" s="18"/>
      <c r="G168" s="19"/>
    </row>
    <row r="169" spans="1:7" ht="26.25" customHeight="1" x14ac:dyDescent="0.25">
      <c r="A169" s="15">
        <f t="shared" ref="A169:A171" si="26">+A168+0.01</f>
        <v>3.0199999999999996</v>
      </c>
      <c r="B169" s="16" t="s">
        <v>34</v>
      </c>
      <c r="C169" s="17">
        <f>ROUNDUP(C168*1.2,2)</f>
        <v>17.28</v>
      </c>
      <c r="D169" s="17" t="s">
        <v>33</v>
      </c>
      <c r="E169" s="18"/>
      <c r="F169" s="18"/>
      <c r="G169" s="19"/>
    </row>
    <row r="170" spans="1:7" ht="25.5" customHeight="1" x14ac:dyDescent="0.25">
      <c r="A170" s="15">
        <f t="shared" si="26"/>
        <v>3.0299999999999994</v>
      </c>
      <c r="B170" s="16" t="s">
        <v>95</v>
      </c>
      <c r="C170" s="17">
        <f>+ROUND(8*3*0.35,2)</f>
        <v>8.4</v>
      </c>
      <c r="D170" s="17" t="s">
        <v>33</v>
      </c>
      <c r="E170" s="18"/>
      <c r="F170" s="18"/>
      <c r="G170" s="19"/>
    </row>
    <row r="171" spans="1:7" ht="43.5" customHeight="1" x14ac:dyDescent="0.25">
      <c r="A171" s="15">
        <f t="shared" si="26"/>
        <v>3.0399999999999991</v>
      </c>
      <c r="B171" s="16" t="s">
        <v>96</v>
      </c>
      <c r="C171" s="17">
        <f>+ROUND(8*3*0.25,2)</f>
        <v>6</v>
      </c>
      <c r="D171" s="17" t="s">
        <v>33</v>
      </c>
      <c r="E171" s="18"/>
      <c r="F171" s="18"/>
      <c r="G171" s="19"/>
    </row>
    <row r="172" spans="1:7" ht="18.75" x14ac:dyDescent="0.3">
      <c r="A172" s="20"/>
      <c r="B172" s="21"/>
      <c r="C172" s="22"/>
      <c r="D172" s="22"/>
      <c r="E172" s="22"/>
      <c r="F172" s="22"/>
      <c r="G172" s="23"/>
    </row>
    <row r="173" spans="1:7" ht="19.5" thickBot="1" x14ac:dyDescent="0.35">
      <c r="A173" s="20"/>
      <c r="B173" s="21"/>
      <c r="C173" s="22"/>
      <c r="D173" s="22"/>
      <c r="E173" s="22"/>
      <c r="F173" s="22"/>
      <c r="G173" s="19"/>
    </row>
    <row r="174" spans="1:7" ht="19.5" thickBot="1" x14ac:dyDescent="0.3">
      <c r="A174" s="57" t="s">
        <v>49</v>
      </c>
      <c r="B174" s="58" t="s">
        <v>158</v>
      </c>
      <c r="C174" s="13"/>
      <c r="D174" s="13"/>
      <c r="E174" s="13"/>
      <c r="F174" s="13"/>
      <c r="G174" s="14"/>
    </row>
    <row r="175" spans="1:7" ht="18.75" x14ac:dyDescent="0.25">
      <c r="A175" s="15">
        <v>1.01</v>
      </c>
      <c r="B175" s="16" t="s">
        <v>20</v>
      </c>
      <c r="C175" s="17">
        <v>1</v>
      </c>
      <c r="D175" s="17" t="s">
        <v>31</v>
      </c>
      <c r="E175" s="18"/>
      <c r="F175" s="18"/>
      <c r="G175" s="19"/>
    </row>
    <row r="176" spans="1:7" ht="18.75" x14ac:dyDescent="0.3">
      <c r="A176" s="20"/>
      <c r="B176" s="21"/>
      <c r="C176" s="22"/>
      <c r="D176" s="22"/>
      <c r="E176" s="22"/>
      <c r="F176" s="22"/>
      <c r="G176" s="23"/>
    </row>
    <row r="177" spans="1:7" ht="19.5" thickBot="1" x14ac:dyDescent="0.3">
      <c r="A177" s="29"/>
      <c r="B177" s="30"/>
      <c r="C177" s="31"/>
      <c r="D177" s="32"/>
      <c r="E177" s="33"/>
      <c r="F177" s="33"/>
      <c r="G177" s="19"/>
    </row>
    <row r="178" spans="1:7" ht="25.5" customHeight="1" thickBot="1" x14ac:dyDescent="0.3">
      <c r="A178" s="85" t="s">
        <v>7</v>
      </c>
      <c r="B178" s="86"/>
      <c r="C178" s="86"/>
      <c r="D178" s="86"/>
      <c r="E178" s="86"/>
      <c r="F178" s="87"/>
      <c r="G178" s="78"/>
    </row>
    <row r="179" spans="1:7" ht="18.75" x14ac:dyDescent="0.25">
      <c r="A179" s="34"/>
      <c r="B179" s="35"/>
      <c r="C179" s="35"/>
      <c r="D179" s="35"/>
      <c r="E179" s="35"/>
      <c r="F179" s="35"/>
      <c r="G179" s="19"/>
    </row>
    <row r="180" spans="1:7" ht="18.75" x14ac:dyDescent="0.25">
      <c r="A180" s="28"/>
      <c r="B180" s="36" t="s">
        <v>8</v>
      </c>
      <c r="C180" s="31"/>
      <c r="D180" s="37"/>
      <c r="E180" s="33"/>
      <c r="F180" s="38"/>
      <c r="G180" s="39"/>
    </row>
    <row r="181" spans="1:7" ht="18.75" x14ac:dyDescent="0.25">
      <c r="A181" s="29" t="s">
        <v>9</v>
      </c>
      <c r="B181" s="30" t="s">
        <v>21</v>
      </c>
      <c r="C181" s="31"/>
      <c r="D181" s="40">
        <v>0.04</v>
      </c>
      <c r="E181" s="33"/>
      <c r="F181" s="38"/>
      <c r="G181" s="39"/>
    </row>
    <row r="182" spans="1:7" ht="18.75" x14ac:dyDescent="0.25">
      <c r="A182" s="29" t="s">
        <v>10</v>
      </c>
      <c r="B182" s="30" t="s">
        <v>22</v>
      </c>
      <c r="C182" s="31"/>
      <c r="D182" s="40">
        <v>0.03</v>
      </c>
      <c r="E182" s="33"/>
      <c r="F182" s="38"/>
      <c r="G182" s="39"/>
    </row>
    <row r="183" spans="1:7" ht="18.75" x14ac:dyDescent="0.25">
      <c r="A183" s="29" t="s">
        <v>11</v>
      </c>
      <c r="B183" s="30" t="s">
        <v>23</v>
      </c>
      <c r="C183" s="31"/>
      <c r="D183" s="40">
        <v>2.5000000000000001E-2</v>
      </c>
      <c r="E183" s="33"/>
      <c r="F183" s="38"/>
      <c r="G183" s="39"/>
    </row>
    <row r="184" spans="1:7" ht="18.75" x14ac:dyDescent="0.25">
      <c r="A184" s="29" t="s">
        <v>12</v>
      </c>
      <c r="B184" s="30" t="s">
        <v>24</v>
      </c>
      <c r="C184" s="31"/>
      <c r="D184" s="40">
        <v>0.1</v>
      </c>
      <c r="E184" s="33"/>
      <c r="F184" s="38"/>
      <c r="G184" s="39"/>
    </row>
    <row r="185" spans="1:7" ht="18.75" x14ac:dyDescent="0.25">
      <c r="A185" s="29" t="s">
        <v>13</v>
      </c>
      <c r="B185" s="30" t="s">
        <v>25</v>
      </c>
      <c r="C185" s="31"/>
      <c r="D185" s="40">
        <v>0.04</v>
      </c>
      <c r="E185" s="33"/>
      <c r="F185" s="38"/>
      <c r="G185" s="39"/>
    </row>
    <row r="186" spans="1:7" ht="18.75" x14ac:dyDescent="0.25">
      <c r="A186" s="29" t="s">
        <v>14</v>
      </c>
      <c r="B186" s="30" t="s">
        <v>26</v>
      </c>
      <c r="C186" s="31"/>
      <c r="D186" s="40">
        <v>0.01</v>
      </c>
      <c r="E186" s="33"/>
      <c r="F186" s="38"/>
      <c r="G186" s="39"/>
    </row>
    <row r="187" spans="1:7" ht="18.75" x14ac:dyDescent="0.25">
      <c r="A187" s="29" t="s">
        <v>15</v>
      </c>
      <c r="B187" s="30" t="s">
        <v>27</v>
      </c>
      <c r="C187" s="31"/>
      <c r="D187" s="40">
        <v>1E-3</v>
      </c>
      <c r="E187" s="33"/>
      <c r="F187" s="38"/>
      <c r="G187" s="39"/>
    </row>
    <row r="188" spans="1:7" ht="18.75" x14ac:dyDescent="0.25">
      <c r="A188" s="29" t="s">
        <v>16</v>
      </c>
      <c r="B188" s="30" t="s">
        <v>28</v>
      </c>
      <c r="C188" s="31"/>
      <c r="D188" s="40">
        <v>0.05</v>
      </c>
      <c r="E188" s="33"/>
      <c r="F188" s="38"/>
      <c r="G188" s="39"/>
    </row>
    <row r="189" spans="1:7" ht="18.75" x14ac:dyDescent="0.25">
      <c r="A189" s="29" t="s">
        <v>17</v>
      </c>
      <c r="B189" s="30" t="s">
        <v>29</v>
      </c>
      <c r="C189" s="31"/>
      <c r="D189" s="40">
        <v>0.18</v>
      </c>
      <c r="E189" s="33"/>
      <c r="F189" s="38"/>
      <c r="G189" s="39"/>
    </row>
    <row r="190" spans="1:7" ht="18.75" x14ac:dyDescent="0.25">
      <c r="A190" s="29"/>
      <c r="B190" s="30"/>
      <c r="C190" s="41" t="s">
        <v>18</v>
      </c>
      <c r="D190" s="30"/>
      <c r="E190" s="42"/>
      <c r="F190" s="30"/>
      <c r="G190" s="19"/>
    </row>
    <row r="191" spans="1:7" ht="18.75" x14ac:dyDescent="0.25">
      <c r="A191" s="29"/>
      <c r="B191" s="30"/>
      <c r="C191" s="41"/>
      <c r="D191" s="30"/>
      <c r="E191" s="42"/>
      <c r="F191" s="30"/>
      <c r="G191" s="19"/>
    </row>
    <row r="192" spans="1:7" ht="18.75" x14ac:dyDescent="0.25">
      <c r="A192" s="79" t="s">
        <v>19</v>
      </c>
      <c r="B192" s="80"/>
      <c r="C192" s="80"/>
      <c r="D192" s="80"/>
      <c r="E192" s="80"/>
      <c r="F192" s="81"/>
      <c r="G192" s="23"/>
    </row>
    <row r="193" spans="1:7" ht="18.75" x14ac:dyDescent="0.3">
      <c r="A193" s="20"/>
      <c r="B193" s="21"/>
      <c r="C193" s="22"/>
      <c r="D193" s="22"/>
      <c r="E193" s="22"/>
      <c r="F193" s="22"/>
      <c r="G193" s="43"/>
    </row>
    <row r="194" spans="1:7" ht="18.75" x14ac:dyDescent="0.25">
      <c r="A194" s="44" t="s">
        <v>111</v>
      </c>
      <c r="B194" s="45"/>
      <c r="C194" s="45"/>
      <c r="D194" s="45"/>
      <c r="E194" s="96" t="s">
        <v>112</v>
      </c>
      <c r="F194" s="96"/>
      <c r="G194" s="46"/>
    </row>
    <row r="195" spans="1:7" ht="18.75" x14ac:dyDescent="0.3">
      <c r="A195" s="47"/>
      <c r="B195" s="54"/>
      <c r="C195" s="48"/>
      <c r="D195" s="54"/>
      <c r="E195" s="54"/>
      <c r="F195" s="54"/>
      <c r="G195" s="49"/>
    </row>
    <row r="196" spans="1:7" ht="18.75" x14ac:dyDescent="0.3">
      <c r="A196" s="20"/>
      <c r="B196" s="45"/>
      <c r="C196" s="48"/>
      <c r="D196" s="48"/>
      <c r="E196" s="48"/>
      <c r="F196" s="48"/>
      <c r="G196" s="50"/>
    </row>
    <row r="197" spans="1:7" ht="18.75" x14ac:dyDescent="0.25">
      <c r="A197" s="97" t="s">
        <v>155</v>
      </c>
      <c r="B197" s="90"/>
      <c r="C197" s="90"/>
      <c r="D197" s="94" t="s">
        <v>113</v>
      </c>
      <c r="E197" s="94"/>
      <c r="F197" s="94"/>
      <c r="G197" s="95"/>
    </row>
    <row r="198" spans="1:7" ht="18.75" x14ac:dyDescent="0.25">
      <c r="A198" s="44" t="s">
        <v>114</v>
      </c>
      <c r="B198" s="45"/>
      <c r="C198" s="45"/>
      <c r="D198" s="45" t="s">
        <v>115</v>
      </c>
      <c r="E198" s="45"/>
      <c r="F198" s="45"/>
      <c r="G198" s="46"/>
    </row>
    <row r="199" spans="1:7" ht="18.75" x14ac:dyDescent="0.3">
      <c r="A199" s="47"/>
      <c r="B199" s="21"/>
      <c r="C199" s="22"/>
      <c r="D199" s="22"/>
      <c r="E199" s="22"/>
      <c r="F199" s="22"/>
      <c r="G199" s="43"/>
    </row>
    <row r="200" spans="1:7" ht="18.75" x14ac:dyDescent="0.25">
      <c r="A200" s="51"/>
      <c r="B200" s="96" t="s">
        <v>116</v>
      </c>
      <c r="C200" s="96"/>
      <c r="D200" s="96"/>
      <c r="E200" s="96"/>
      <c r="F200" s="96"/>
      <c r="G200" s="98"/>
    </row>
    <row r="201" spans="1:7" ht="18.75" x14ac:dyDescent="0.3">
      <c r="A201" s="22"/>
      <c r="B201" s="21"/>
      <c r="C201" s="22"/>
      <c r="D201" s="22"/>
      <c r="E201" s="22"/>
      <c r="F201" s="22"/>
      <c r="G201" s="43"/>
    </row>
    <row r="202" spans="1:7" ht="18.75" x14ac:dyDescent="0.3">
      <c r="A202" s="22"/>
      <c r="B202" s="21"/>
      <c r="C202" s="22"/>
      <c r="D202" s="22"/>
      <c r="E202" s="45"/>
      <c r="F202" s="45"/>
      <c r="G202" s="46"/>
    </row>
    <row r="203" spans="1:7" ht="18.75" x14ac:dyDescent="0.3">
      <c r="A203" s="52"/>
      <c r="B203" s="90" t="s">
        <v>156</v>
      </c>
      <c r="C203" s="90"/>
      <c r="D203" s="90"/>
      <c r="E203" s="90"/>
      <c r="F203" s="90"/>
      <c r="G203" s="91"/>
    </row>
    <row r="204" spans="1:7" ht="19.5" thickBot="1" x14ac:dyDescent="0.35">
      <c r="A204" s="52"/>
      <c r="B204" s="92" t="s">
        <v>117</v>
      </c>
      <c r="C204" s="92"/>
      <c r="D204" s="92"/>
      <c r="E204" s="92"/>
      <c r="F204" s="92"/>
      <c r="G204" s="93"/>
    </row>
  </sheetData>
  <mergeCells count="13">
    <mergeCell ref="B203:G203"/>
    <mergeCell ref="B204:G204"/>
    <mergeCell ref="D197:G197"/>
    <mergeCell ref="E194:F194"/>
    <mergeCell ref="A197:C197"/>
    <mergeCell ref="B200:G200"/>
    <mergeCell ref="A192:F192"/>
    <mergeCell ref="A2:G2"/>
    <mergeCell ref="A6:G6"/>
    <mergeCell ref="A7:G7"/>
    <mergeCell ref="A8:G8"/>
    <mergeCell ref="A178:F178"/>
    <mergeCell ref="E4:G4"/>
  </mergeCells>
  <pageMargins left="0.7" right="0.7" top="0.75" bottom="0.75" header="0.3" footer="0.3"/>
  <pageSetup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VILLA MELLA 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Ejecución De Obras</dc:creator>
  <cp:lastModifiedBy>Compras</cp:lastModifiedBy>
  <cp:lastPrinted>2021-03-24T14:02:05Z</cp:lastPrinted>
  <dcterms:created xsi:type="dcterms:W3CDTF">2017-12-28T17:07:55Z</dcterms:created>
  <dcterms:modified xsi:type="dcterms:W3CDTF">2021-04-15T14:26:02Z</dcterms:modified>
</cp:coreProperties>
</file>