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velin\Desktop\OAIM\"/>
    </mc:Choice>
  </mc:AlternateContent>
  <bookViews>
    <workbookView xWindow="0" yWindow="0" windowWidth="20490" windowHeight="7755"/>
  </bookViews>
  <sheets>
    <sheet name="funeraria sin mobiliario" sheetId="8" r:id="rId1"/>
    <sheet name="Analisis" sheetId="4" state="hidden" r:id="rId2"/>
    <sheet name="Analisis Auxiliares" sheetId="2" state="hidden" r:id="rId3"/>
    <sheet name="memoria" sheetId="7" state="hidden" r:id="rId4"/>
    <sheet name="Materiales" sheetId="3" state="hidden" r:id="rId5"/>
    <sheet name="DATOS FLUJO GRAMA" sheetId="6" state="hidden" r:id="rId6"/>
  </sheets>
  <externalReferences>
    <externalReference r:id="rId7"/>
    <externalReference r:id="rId8"/>
  </externalReferences>
  <definedNames>
    <definedName name="__123Graph_A" localSheetId="0" hidden="1">[1]A!#REF!</definedName>
    <definedName name="__123Graph_A" hidden="1">[1]A!#REF!</definedName>
    <definedName name="__123Graph_B" localSheetId="0" hidden="1">[1]A!#REF!</definedName>
    <definedName name="__123Graph_B" hidden="1">[1]A!#REF!</definedName>
    <definedName name="__123Graph_C" localSheetId="0" hidden="1">[1]A!#REF!</definedName>
    <definedName name="__123Graph_C" hidden="1">[1]A!#REF!</definedName>
    <definedName name="__123Graph_D" localSheetId="0" hidden="1">[1]A!#REF!</definedName>
    <definedName name="__123Graph_D" hidden="1">[1]A!#REF!</definedName>
    <definedName name="__123Graph_E" localSheetId="0" hidden="1">[1]A!#REF!</definedName>
    <definedName name="__123Graph_E" hidden="1">[1]A!#REF!</definedName>
    <definedName name="__123Graph_F" localSheetId="0" hidden="1">[1]A!#REF!</definedName>
    <definedName name="__123Graph_F" hidden="1">[1]A!#REF!</definedName>
    <definedName name="__IntlFixup" hidden="1">TRUE</definedName>
    <definedName name="_Fill" localSheetId="0" hidden="1">#REF!</definedName>
    <definedName name="_Fill" hidden="1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dm.a" localSheetId="0" hidden="1">'[2]ANALISIS STO DGO'!#REF!</definedName>
    <definedName name="adm.a" hidden="1">'[2]ANALISIS STO DGO'!#REF!</definedName>
    <definedName name="ADMBL" localSheetId="0" hidden="1">'[2]ANALISIS STO DGO'!#REF!</definedName>
    <definedName name="ADMBL" hidden="1">'[2]ANALISIS STO DGO'!#REF!</definedName>
    <definedName name="are" localSheetId="0" hidden="1">'[2]ANALISIS STO DGO'!#REF!</definedName>
    <definedName name="are" hidden="1">'[2]ANALISIS STO DGO'!#REF!</definedName>
    <definedName name="_xlnm.Print_Area" localSheetId="1">Analisis!$A$1:$H$1966</definedName>
    <definedName name="_xlnm.Print_Area" localSheetId="0">'funeraria sin mobiliario'!$A$1:$G$400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O700" localSheetId="0" hidden="1">#REF!</definedName>
    <definedName name="DEDO700" hidden="1">#REF!</definedName>
    <definedName name="DEDO900" localSheetId="0" hidden="1">#REF!</definedName>
    <definedName name="DEDO900" hidden="1">#REF!</definedName>
    <definedName name="EMERGE" localSheetId="0" hidden="1">'[2]ANALISIS STO DGO'!#REF!</definedName>
    <definedName name="EMERGE" hidden="1">'[2]ANALISIS STO DGO'!#REF!</definedName>
    <definedName name="EMERGENCY" localSheetId="0" hidden="1">'[2]ANALISIS STO DGO'!#REF!</definedName>
    <definedName name="EMERGENCY" hidden="1">'[2]ANALISIS STO DGO'!#REF!</definedName>
    <definedName name="FF" localSheetId="0" hidden="1">#REF!</definedName>
    <definedName name="FF" hidden="1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LINE" localSheetId="0" hidden="1">'[2]ANALISIS STO DGO'!#REF!</definedName>
    <definedName name="LINE" hidden="1">'[2]ANALISIS STO DGO'!#REF!</definedName>
    <definedName name="lineout" localSheetId="0" hidden="1">'[2]ANALISIS STO DGO'!#REF!</definedName>
    <definedName name="lineout" hidden="1">'[2]ANALISIS STO DGO'!#REF!</definedName>
    <definedName name="Obra___Puente_Sobre_el_Matayaya__Carretera_Las_Matas_Elias_Pina">"proyecto"</definedName>
    <definedName name="WARE" localSheetId="0" hidden="1">'[2]ANALISIS STO DGO'!#REF!</definedName>
    <definedName name="WARE" hidden="1">'[2]ANALISIS STO DGO'!#REF!</definedName>
    <definedName name="ware." localSheetId="0" hidden="1">'[2]ANALISIS STO DGO'!#REF!</definedName>
    <definedName name="ware." hidden="1">'[2]ANALISIS STO DGO'!#REF!</definedName>
    <definedName name="ware.1" localSheetId="0" hidden="1">'[2]ANALISIS STO DGO'!#REF!</definedName>
    <definedName name="ware.1" hidden="1">'[2]ANALISIS STO DGO'!#REF!</definedName>
    <definedName name="WAREHOUSE" localSheetId="0" hidden="1">'[2]ANALISIS STO DGO'!#REF!</definedName>
    <definedName name="WAREHOUSE" hidden="1">'[2]ANALISIS STO DGO'!#REF!</definedName>
    <definedName name="Wimaldy" localSheetId="0" hidden="1">'[2]ANALISIS STO DGO'!#REF!</definedName>
    <definedName name="Wimaldy" hidden="1">'[2]ANALISIS STO DGO'!#REF!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75" i="8" l="1"/>
  <c r="A376" i="8" s="1"/>
  <c r="A377" i="8" s="1"/>
  <c r="A378" i="8" s="1"/>
  <c r="A379" i="8" s="1"/>
  <c r="A380" i="8" s="1"/>
  <c r="A381" i="8" s="1"/>
  <c r="A382" i="8" s="1"/>
  <c r="A383" i="8" s="1"/>
  <c r="F369" i="8" l="1"/>
  <c r="G370" i="8" s="1"/>
  <c r="A369" i="8"/>
  <c r="F364" i="8" l="1"/>
  <c r="A353" i="8"/>
  <c r="A354" i="8" s="1"/>
  <c r="A355" i="8" s="1"/>
  <c r="A356" i="8" s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43" i="8"/>
  <c r="A344" i="8" s="1"/>
  <c r="A345" i="8" s="1"/>
  <c r="A346" i="8" s="1"/>
  <c r="A347" i="8" s="1"/>
  <c r="A348" i="8" s="1"/>
  <c r="A349" i="8" s="1"/>
  <c r="A350" i="8" s="1"/>
  <c r="A338" i="8"/>
  <c r="A339" i="8" s="1"/>
  <c r="A340" i="8" s="1"/>
  <c r="C335" i="8"/>
  <c r="C334" i="8"/>
  <c r="C333" i="8"/>
  <c r="C332" i="8"/>
  <c r="A332" i="8"/>
  <c r="A333" i="8" s="1"/>
  <c r="A334" i="8" s="1"/>
  <c r="A335" i="8" s="1"/>
  <c r="C329" i="8"/>
  <c r="C327" i="8"/>
  <c r="C326" i="8"/>
  <c r="A326" i="8"/>
  <c r="A327" i="8" s="1"/>
  <c r="A328" i="8" s="1"/>
  <c r="A329" i="8" s="1"/>
  <c r="C320" i="8"/>
  <c r="A320" i="8"/>
  <c r="A321" i="8" s="1"/>
  <c r="A322" i="8" s="1"/>
  <c r="A323" i="8" s="1"/>
  <c r="C317" i="8"/>
  <c r="C316" i="8"/>
  <c r="A314" i="8"/>
  <c r="A315" i="8" s="1"/>
  <c r="A316" i="8" s="1"/>
  <c r="A317" i="8" s="1"/>
  <c r="C311" i="8"/>
  <c r="A311" i="8"/>
  <c r="C305" i="8"/>
  <c r="A304" i="8"/>
  <c r="A305" i="8" s="1"/>
  <c r="A306" i="8" s="1"/>
  <c r="A307" i="8" s="1"/>
  <c r="A308" i="8" s="1"/>
  <c r="F301" i="8"/>
  <c r="A293" i="8"/>
  <c r="A294" i="8" s="1"/>
  <c r="A295" i="8" s="1"/>
  <c r="A296" i="8" s="1"/>
  <c r="A297" i="8" s="1"/>
  <c r="A298" i="8" s="1"/>
  <c r="A299" i="8" s="1"/>
  <c r="A300" i="8" s="1"/>
  <c r="A301" i="8" s="1"/>
  <c r="A290" i="8"/>
  <c r="C287" i="8"/>
  <c r="C295" i="8" s="1"/>
  <c r="C285" i="8"/>
  <c r="C284" i="8"/>
  <c r="C283" i="8"/>
  <c r="C282" i="8"/>
  <c r="C281" i="8"/>
  <c r="C280" i="8"/>
  <c r="C279" i="8"/>
  <c r="C278" i="8"/>
  <c r="C277" i="8"/>
  <c r="C276" i="8"/>
  <c r="C274" i="8"/>
  <c r="B274" i="8"/>
  <c r="A274" i="8"/>
  <c r="A275" i="8" s="1"/>
  <c r="A276" i="8" s="1"/>
  <c r="A277" i="8" s="1"/>
  <c r="A278" i="8" s="1"/>
  <c r="A279" i="8" s="1"/>
  <c r="A280" i="8" s="1"/>
  <c r="A281" i="8" s="1"/>
  <c r="A282" i="8" s="1"/>
  <c r="A283" i="8" s="1"/>
  <c r="A284" i="8" s="1"/>
  <c r="A285" i="8" s="1"/>
  <c r="A286" i="8" s="1"/>
  <c r="A287" i="8" s="1"/>
  <c r="F268" i="8"/>
  <c r="F267" i="8"/>
  <c r="F265" i="8"/>
  <c r="F264" i="8"/>
  <c r="A264" i="8"/>
  <c r="A265" i="8" s="1"/>
  <c r="A266" i="8" s="1"/>
  <c r="A267" i="8" s="1"/>
  <c r="A268" i="8" s="1"/>
  <c r="C260" i="8"/>
  <c r="C259" i="8"/>
  <c r="C258" i="8"/>
  <c r="C255" i="8"/>
  <c r="C254" i="8"/>
  <c r="C252" i="8"/>
  <c r="C251" i="8"/>
  <c r="C250" i="8"/>
  <c r="C249" i="8"/>
  <c r="C246" i="8"/>
  <c r="C247" i="8" s="1"/>
  <c r="F243" i="8"/>
  <c r="A243" i="8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F238" i="8"/>
  <c r="G239" i="8" s="1"/>
  <c r="A238" i="8"/>
  <c r="F235" i="8"/>
  <c r="F234" i="8"/>
  <c r="C230" i="8"/>
  <c r="C231" i="8" s="1"/>
  <c r="C229" i="8"/>
  <c r="C228" i="8"/>
  <c r="C227" i="8"/>
  <c r="C226" i="8"/>
  <c r="C223" i="8"/>
  <c r="C224" i="8" s="1"/>
  <c r="A223" i="8"/>
  <c r="A224" i="8" s="1"/>
  <c r="A225" i="8" s="1"/>
  <c r="A226" i="8" s="1"/>
  <c r="A227" i="8" s="1"/>
  <c r="A228" i="8" s="1"/>
  <c r="A229" i="8" s="1"/>
  <c r="A230" i="8" s="1"/>
  <c r="A231" i="8" s="1"/>
  <c r="A232" i="8" s="1"/>
  <c r="A233" i="8" s="1"/>
  <c r="A234" i="8" s="1"/>
  <c r="A235" i="8" s="1"/>
  <c r="F220" i="8"/>
  <c r="F219" i="8"/>
  <c r="F218" i="8"/>
  <c r="F217" i="8"/>
  <c r="A214" i="8"/>
  <c r="A215" i="8" s="1"/>
  <c r="A216" i="8" s="1"/>
  <c r="A217" i="8" s="1"/>
  <c r="A218" i="8" s="1"/>
  <c r="A219" i="8" s="1"/>
  <c r="A220" i="8" s="1"/>
  <c r="F209" i="8"/>
  <c r="A198" i="8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F195" i="8"/>
  <c r="F194" i="8"/>
  <c r="C193" i="8"/>
  <c r="F193" i="8" s="1"/>
  <c r="F192" i="8"/>
  <c r="F190" i="8"/>
  <c r="A190" i="8"/>
  <c r="A191" i="8" s="1"/>
  <c r="A192" i="8" s="1"/>
  <c r="A193" i="8" s="1"/>
  <c r="A194" i="8" s="1"/>
  <c r="A195" i="8" s="1"/>
  <c r="F187" i="8"/>
  <c r="F186" i="8"/>
  <c r="C185" i="8"/>
  <c r="C183" i="8"/>
  <c r="C184" i="8" s="1"/>
  <c r="F184" i="8" s="1"/>
  <c r="A183" i="8"/>
  <c r="A184" i="8" s="1"/>
  <c r="A185" i="8" s="1"/>
  <c r="A186" i="8" s="1"/>
  <c r="A187" i="8" s="1"/>
  <c r="A161" i="8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F158" i="8"/>
  <c r="F157" i="8"/>
  <c r="F156" i="8"/>
  <c r="F155" i="8"/>
  <c r="C151" i="8"/>
  <c r="F144" i="8"/>
  <c r="F143" i="8"/>
  <c r="A143" i="8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24" i="8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19" i="8"/>
  <c r="A120" i="8" s="1"/>
  <c r="A121" i="8" s="1"/>
  <c r="C112" i="8"/>
  <c r="A112" i="8"/>
  <c r="A113" i="8" s="1"/>
  <c r="A114" i="8" s="1"/>
  <c r="A115" i="8" s="1"/>
  <c r="A116" i="8" s="1"/>
  <c r="C109" i="8"/>
  <c r="C108" i="8"/>
  <c r="C104" i="8"/>
  <c r="A104" i="8"/>
  <c r="A105" i="8" s="1"/>
  <c r="A106" i="8" s="1"/>
  <c r="A107" i="8" s="1"/>
  <c r="A108" i="8" s="1"/>
  <c r="A109" i="8" s="1"/>
  <c r="C101" i="8"/>
  <c r="C99" i="8"/>
  <c r="C100" i="8" s="1"/>
  <c r="A98" i="8"/>
  <c r="A99" i="8" s="1"/>
  <c r="A100" i="8" s="1"/>
  <c r="A101" i="8" s="1"/>
  <c r="F95" i="8"/>
  <c r="A94" i="8"/>
  <c r="A95" i="8" s="1"/>
  <c r="C91" i="8"/>
  <c r="F91" i="8" s="1"/>
  <c r="C85" i="8"/>
  <c r="A83" i="8"/>
  <c r="A84" i="8" s="1"/>
  <c r="A85" i="8" s="1"/>
  <c r="A86" i="8" s="1"/>
  <c r="A87" i="8" s="1"/>
  <c r="A88" i="8" s="1"/>
  <c r="A89" i="8" s="1"/>
  <c r="A90" i="8" s="1"/>
  <c r="A91" i="8" s="1"/>
  <c r="F80" i="8"/>
  <c r="C74" i="8"/>
  <c r="C83" i="8" s="1"/>
  <c r="A72" i="8"/>
  <c r="A73" i="8" s="1"/>
  <c r="A74" i="8" s="1"/>
  <c r="A75" i="8" s="1"/>
  <c r="A76" i="8" s="1"/>
  <c r="A77" i="8" s="1"/>
  <c r="A78" i="8" s="1"/>
  <c r="A79" i="8" s="1"/>
  <c r="A80" i="8" s="1"/>
  <c r="A67" i="8"/>
  <c r="A68" i="8" s="1"/>
  <c r="A69" i="8" s="1"/>
  <c r="C64" i="8"/>
  <c r="F64" i="8" s="1"/>
  <c r="C60" i="8"/>
  <c r="C59" i="8"/>
  <c r="C58" i="8"/>
  <c r="C57" i="8"/>
  <c r="C56" i="8"/>
  <c r="C55" i="8"/>
  <c r="C54" i="8"/>
  <c r="C53" i="8"/>
  <c r="C52" i="8"/>
  <c r="C51" i="8"/>
  <c r="C50" i="8"/>
  <c r="C47" i="8"/>
  <c r="C46" i="8"/>
  <c r="C44" i="8"/>
  <c r="C43" i="8"/>
  <c r="C42" i="8"/>
  <c r="C41" i="8"/>
  <c r="A40" i="8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C34" i="8"/>
  <c r="C37" i="8" s="1"/>
  <c r="A32" i="8"/>
  <c r="A33" i="8" s="1"/>
  <c r="A34" i="8" s="1"/>
  <c r="A35" i="8" s="1"/>
  <c r="A36" i="8" s="1"/>
  <c r="A37" i="8" s="1"/>
  <c r="F29" i="8"/>
  <c r="C28" i="8"/>
  <c r="F24" i="8"/>
  <c r="A21" i="8"/>
  <c r="A22" i="8" s="1"/>
  <c r="A23" i="8" s="1"/>
  <c r="A24" i="8" s="1"/>
  <c r="A25" i="8" s="1"/>
  <c r="A26" i="8" s="1"/>
  <c r="A27" i="8" s="1"/>
  <c r="A28" i="8" s="1"/>
  <c r="A29" i="8" s="1"/>
  <c r="F223" i="8" l="1"/>
  <c r="C232" i="8"/>
  <c r="C233" i="8" s="1"/>
  <c r="C328" i="8"/>
  <c r="C225" i="8"/>
  <c r="F42" i="8"/>
  <c r="F44" i="8"/>
  <c r="C253" i="8"/>
  <c r="C48" i="8"/>
  <c r="C121" i="8"/>
  <c r="C113" i="8"/>
  <c r="C314" i="8"/>
  <c r="C340" i="8"/>
  <c r="C256" i="8" l="1"/>
  <c r="C116" i="8"/>
  <c r="C49" i="8"/>
  <c r="C257" i="8" l="1"/>
  <c r="E650" i="4" l="1"/>
  <c r="E643" i="4"/>
  <c r="E637" i="4"/>
  <c r="C239" i="4"/>
  <c r="C241" i="4" s="1"/>
  <c r="B235" i="4"/>
  <c r="G243" i="4"/>
  <c r="G242" i="4"/>
  <c r="K240" i="4"/>
  <c r="L239" i="4" s="1"/>
  <c r="J240" i="4"/>
  <c r="L237" i="4"/>
  <c r="O237" i="4" s="1"/>
  <c r="P237" i="4" s="1"/>
  <c r="Q237" i="4" s="1"/>
  <c r="J237" i="4"/>
  <c r="O236" i="4"/>
  <c r="P236" i="4" s="1"/>
  <c r="O235" i="4"/>
  <c r="P235" i="4" s="1"/>
  <c r="J235" i="4"/>
  <c r="J236" i="4" s="1"/>
  <c r="C217" i="4"/>
  <c r="C219" i="4" s="1"/>
  <c r="J218" i="4"/>
  <c r="B213" i="4"/>
  <c r="G221" i="4"/>
  <c r="C220" i="4"/>
  <c r="G220" i="4" s="1"/>
  <c r="K218" i="4"/>
  <c r="L217" i="4" s="1"/>
  <c r="J219" i="4"/>
  <c r="J220" i="4" s="1"/>
  <c r="L215" i="4"/>
  <c r="O215" i="4" s="1"/>
  <c r="P215" i="4" s="1"/>
  <c r="Q215" i="4" s="1"/>
  <c r="K213" i="4"/>
  <c r="O213" i="4" s="1"/>
  <c r="J213" i="4"/>
  <c r="J214" i="4" s="1"/>
  <c r="C228" i="4"/>
  <c r="C206" i="4"/>
  <c r="C205" i="4"/>
  <c r="J207" i="4"/>
  <c r="J208" i="4" s="1"/>
  <c r="L160" i="4"/>
  <c r="C162" i="4"/>
  <c r="J158" i="4"/>
  <c r="C195" i="4"/>
  <c r="J196" i="4"/>
  <c r="J197" i="4" s="1"/>
  <c r="J195" i="4"/>
  <c r="L193" i="4"/>
  <c r="O193" i="4" s="1"/>
  <c r="P193" i="4" s="1"/>
  <c r="J193" i="4"/>
  <c r="O192" i="4"/>
  <c r="P192" i="4" s="1"/>
  <c r="B191" i="4"/>
  <c r="K191" i="4"/>
  <c r="O191" i="4" s="1"/>
  <c r="P191" i="4" s="1"/>
  <c r="J191" i="4"/>
  <c r="J241" i="4" l="1"/>
  <c r="J242" i="4" s="1"/>
  <c r="O239" i="4"/>
  <c r="P239" i="4" s="1"/>
  <c r="P213" i="4"/>
  <c r="K214" i="4"/>
  <c r="O214" i="4" l="1"/>
  <c r="J215" i="4"/>
  <c r="P214" i="4" l="1"/>
  <c r="O217" i="4"/>
  <c r="P217" i="4" s="1"/>
  <c r="E568" i="4" l="1"/>
  <c r="E573" i="4"/>
  <c r="E536" i="4"/>
  <c r="B306" i="4"/>
  <c r="C281" i="4" l="1"/>
  <c r="J229" i="4"/>
  <c r="J230" i="4" s="1"/>
  <c r="J231" i="4" s="1"/>
  <c r="B224" i="4"/>
  <c r="G232" i="4"/>
  <c r="G231" i="4"/>
  <c r="K229" i="4"/>
  <c r="L228" i="4" s="1"/>
  <c r="C230" i="4"/>
  <c r="L226" i="4"/>
  <c r="O226" i="4" s="1"/>
  <c r="P226" i="4" s="1"/>
  <c r="Q226" i="4" s="1"/>
  <c r="J224" i="4"/>
  <c r="C209" i="4"/>
  <c r="G209" i="4" s="1"/>
  <c r="L204" i="4"/>
  <c r="O204" i="4" s="1"/>
  <c r="P204" i="4" s="1"/>
  <c r="Q204" i="4" s="1"/>
  <c r="J202" i="4"/>
  <c r="B202" i="4"/>
  <c r="G210" i="4"/>
  <c r="K207" i="4"/>
  <c r="L206" i="4" s="1"/>
  <c r="J209" i="4"/>
  <c r="C208" i="4"/>
  <c r="K202" i="4"/>
  <c r="G199" i="4"/>
  <c r="G198" i="4"/>
  <c r="C197" i="4"/>
  <c r="K163" i="4"/>
  <c r="L162" i="4" s="1"/>
  <c r="J163" i="4"/>
  <c r="J164" i="4" s="1"/>
  <c r="J165" i="4" s="1"/>
  <c r="C153" i="4"/>
  <c r="L149" i="4"/>
  <c r="J147" i="4"/>
  <c r="L248" i="4"/>
  <c r="J246" i="4"/>
  <c r="L139" i="4"/>
  <c r="J139" i="4"/>
  <c r="J137" i="4"/>
  <c r="K131" i="4"/>
  <c r="I128" i="4"/>
  <c r="J119" i="4"/>
  <c r="L110" i="4"/>
  <c r="J110" i="4"/>
  <c r="E27" i="4"/>
  <c r="B27" i="4"/>
  <c r="E19" i="4"/>
  <c r="B19" i="4"/>
  <c r="O224" i="4" l="1"/>
  <c r="J225" i="4"/>
  <c r="K203" i="4"/>
  <c r="O202" i="4"/>
  <c r="J203" i="4"/>
  <c r="I38" i="7"/>
  <c r="H36" i="7"/>
  <c r="D42" i="7"/>
  <c r="C39" i="7"/>
  <c r="C37" i="7"/>
  <c r="C36" i="7"/>
  <c r="B43" i="7"/>
  <c r="A42" i="7"/>
  <c r="F35" i="7" l="1"/>
  <c r="I35" i="7"/>
  <c r="L35" i="7" s="1"/>
  <c r="P224" i="4"/>
  <c r="J226" i="4"/>
  <c r="O225" i="4"/>
  <c r="P225" i="4" s="1"/>
  <c r="P202" i="4"/>
  <c r="J204" i="4"/>
  <c r="O203" i="4"/>
  <c r="P203" i="4" s="1"/>
  <c r="C35" i="7"/>
  <c r="F650" i="4"/>
  <c r="AZ18" i="7"/>
  <c r="AY17" i="7"/>
  <c r="AY16" i="7"/>
  <c r="AY15" i="7"/>
  <c r="AX16" i="7"/>
  <c r="AZ16" i="7" s="1"/>
  <c r="BA16" i="7" s="1"/>
  <c r="AX17" i="7"/>
  <c r="AZ17" i="7" s="1"/>
  <c r="BA17" i="7" s="1"/>
  <c r="AX15" i="7"/>
  <c r="AZ15" i="7" s="1"/>
  <c r="BC16" i="7"/>
  <c r="BC15" i="7"/>
  <c r="BC14" i="7"/>
  <c r="BC13" i="7"/>
  <c r="BC12" i="7"/>
  <c r="BC11" i="7"/>
  <c r="BC10" i="7"/>
  <c r="BC9" i="7"/>
  <c r="BC8" i="7"/>
  <c r="BC7" i="7"/>
  <c r="AZ9" i="7"/>
  <c r="AZ8" i="7"/>
  <c r="AZ7" i="7"/>
  <c r="AV29" i="7"/>
  <c r="AV28" i="7"/>
  <c r="AV27" i="7"/>
  <c r="AV26" i="7"/>
  <c r="AV23" i="7"/>
  <c r="AV21" i="7"/>
  <c r="AV20" i="7"/>
  <c r="AV19" i="7"/>
  <c r="AV18" i="7"/>
  <c r="AV17" i="7"/>
  <c r="AV16" i="7"/>
  <c r="AQ23" i="7"/>
  <c r="AQ21" i="7"/>
  <c r="AQ19" i="7"/>
  <c r="AQ17" i="7"/>
  <c r="AT13" i="7" s="1"/>
  <c r="AQ16" i="7"/>
  <c r="AU29" i="7"/>
  <c r="AU28" i="7"/>
  <c r="AS23" i="7"/>
  <c r="AT22" i="7"/>
  <c r="AR21" i="7"/>
  <c r="AU20" i="7"/>
  <c r="AT20" i="7"/>
  <c r="AS19" i="7"/>
  <c r="AS21" i="7" s="1"/>
  <c r="AR19" i="7"/>
  <c r="AR17" i="7"/>
  <c r="AS16" i="7"/>
  <c r="AR16" i="7"/>
  <c r="AO29" i="7"/>
  <c r="AO28" i="7"/>
  <c r="AO27" i="7"/>
  <c r="AO26" i="7"/>
  <c r="AO23" i="7"/>
  <c r="AO21" i="7"/>
  <c r="AO20" i="7"/>
  <c r="AO19" i="7"/>
  <c r="AO18" i="7"/>
  <c r="AO17" i="7"/>
  <c r="AO16" i="7"/>
  <c r="AJ23" i="7"/>
  <c r="AJ21" i="7"/>
  <c r="AJ19" i="7"/>
  <c r="AJ17" i="7"/>
  <c r="AJ16" i="7"/>
  <c r="AN29" i="7"/>
  <c r="AN28" i="7"/>
  <c r="AL23" i="7"/>
  <c r="AM22" i="7"/>
  <c r="AK21" i="7"/>
  <c r="AN20" i="7"/>
  <c r="AM20" i="7"/>
  <c r="AM29" i="7" s="1"/>
  <c r="AL19" i="7"/>
  <c r="AL21" i="7" s="1"/>
  <c r="AK19" i="7"/>
  <c r="AK17" i="7"/>
  <c r="AL16" i="7"/>
  <c r="AK16" i="7"/>
  <c r="AH9" i="7"/>
  <c r="AH10" i="7"/>
  <c r="AH11" i="7"/>
  <c r="AH12" i="7"/>
  <c r="AH13" i="7"/>
  <c r="AH8" i="7"/>
  <c r="C98" i="8" s="1"/>
  <c r="AC29" i="7"/>
  <c r="AC28" i="7"/>
  <c r="AC20" i="7"/>
  <c r="Z21" i="7"/>
  <c r="Z19" i="7"/>
  <c r="Z17" i="7"/>
  <c r="Z16" i="7"/>
  <c r="AA23" i="7"/>
  <c r="AB22" i="7"/>
  <c r="AB20" i="7"/>
  <c r="AA19" i="7"/>
  <c r="AA21" i="7" s="1"/>
  <c r="AA16" i="7"/>
  <c r="T9" i="7"/>
  <c r="W9" i="7" s="1"/>
  <c r="B317" i="4"/>
  <c r="G325" i="4"/>
  <c r="G324" i="4"/>
  <c r="E323" i="4"/>
  <c r="F323" i="4" s="1"/>
  <c r="O318" i="4"/>
  <c r="O319" i="4" s="1"/>
  <c r="P319" i="4" s="1"/>
  <c r="Q319" i="4" s="1"/>
  <c r="J318" i="4"/>
  <c r="O29" i="7"/>
  <c r="O28" i="7"/>
  <c r="O27" i="7"/>
  <c r="O22" i="7"/>
  <c r="O21" i="7"/>
  <c r="O20" i="7"/>
  <c r="O19" i="7"/>
  <c r="O18" i="7"/>
  <c r="O17" i="7"/>
  <c r="K17" i="7"/>
  <c r="L17" i="7"/>
  <c r="L24" i="7"/>
  <c r="L22" i="7"/>
  <c r="L20" i="7"/>
  <c r="L18" i="7"/>
  <c r="M24" i="7"/>
  <c r="N23" i="7"/>
  <c r="N21" i="7"/>
  <c r="M20" i="7"/>
  <c r="M22" i="7" s="1"/>
  <c r="M17" i="7"/>
  <c r="B13" i="7"/>
  <c r="B15" i="7"/>
  <c r="A16" i="7"/>
  <c r="A12" i="7"/>
  <c r="A14" i="7" s="1"/>
  <c r="A9" i="7"/>
  <c r="C2" i="7"/>
  <c r="AM13" i="7" l="1"/>
  <c r="AS25" i="7"/>
  <c r="C69" i="8"/>
  <c r="C77" i="8"/>
  <c r="BA15" i="7"/>
  <c r="C275" i="8"/>
  <c r="BC17" i="7"/>
  <c r="C294" i="8"/>
  <c r="C286" i="8"/>
  <c r="BA18" i="7"/>
  <c r="Z9" i="7"/>
  <c r="AT29" i="7"/>
  <c r="AL25" i="7"/>
  <c r="P26" i="7"/>
  <c r="E35" i="7"/>
  <c r="G35" i="7" s="1"/>
  <c r="L26" i="7"/>
  <c r="Q13" i="7" s="1"/>
  <c r="AH14" i="7"/>
  <c r="AB29" i="7"/>
  <c r="O228" i="4"/>
  <c r="P228" i="4" s="1"/>
  <c r="O206" i="4"/>
  <c r="P206" i="4" s="1"/>
  <c r="AZ13" i="7"/>
  <c r="AC9" i="7"/>
  <c r="Z11" i="7"/>
  <c r="AA25" i="7"/>
  <c r="G323" i="4"/>
  <c r="A18" i="7"/>
  <c r="B22" i="7"/>
  <c r="M26" i="7"/>
  <c r="N30" i="7"/>
  <c r="C1144" i="4"/>
  <c r="E401" i="4"/>
  <c r="E1958" i="4"/>
  <c r="E1946" i="4"/>
  <c r="E1940" i="4"/>
  <c r="B1664" i="4"/>
  <c r="B1659" i="4"/>
  <c r="B1661" i="4" s="1"/>
  <c r="I1661" i="4"/>
  <c r="E1661" i="4"/>
  <c r="F1661" i="4" s="1"/>
  <c r="O1660" i="4"/>
  <c r="O1661" i="4" s="1"/>
  <c r="P1661" i="4" s="1"/>
  <c r="Q1661" i="4" s="1"/>
  <c r="J1660" i="4"/>
  <c r="E1656" i="4"/>
  <c r="F1656" i="4" s="1"/>
  <c r="B1654" i="4"/>
  <c r="B1656" i="4" s="1"/>
  <c r="I1656" i="4"/>
  <c r="O1655" i="4"/>
  <c r="O1656" i="4" s="1"/>
  <c r="P1656" i="4" s="1"/>
  <c r="Q1656" i="4" s="1"/>
  <c r="J1655" i="4"/>
  <c r="E1651" i="4"/>
  <c r="F1651" i="4" s="1"/>
  <c r="B1649" i="4"/>
  <c r="B1651" i="4" s="1"/>
  <c r="I1651" i="4"/>
  <c r="O1650" i="4"/>
  <c r="O1651" i="4" s="1"/>
  <c r="P1651" i="4" s="1"/>
  <c r="Q1651" i="4" s="1"/>
  <c r="J1650" i="4"/>
  <c r="B1519" i="4"/>
  <c r="G1522" i="4"/>
  <c r="G1521" i="4"/>
  <c r="C1180" i="4"/>
  <c r="G59" i="4"/>
  <c r="G57" i="4"/>
  <c r="E58" i="4"/>
  <c r="F58" i="4" s="1"/>
  <c r="C290" i="8" l="1"/>
  <c r="C293" i="8" s="1"/>
  <c r="C338" i="8" s="1"/>
  <c r="C87" i="8"/>
  <c r="C45" i="8"/>
  <c r="C94" i="8"/>
  <c r="C86" i="8"/>
  <c r="C84" i="8" s="1"/>
  <c r="C296" i="8"/>
  <c r="C339" i="8"/>
  <c r="C76" i="8"/>
  <c r="AI14" i="7"/>
  <c r="D22" i="7"/>
  <c r="C9" i="7"/>
  <c r="G1661" i="4"/>
  <c r="G1662" i="4" s="1"/>
  <c r="G1656" i="4"/>
  <c r="G1657" i="4" s="1"/>
  <c r="G1651" i="4"/>
  <c r="G1652" i="4" s="1"/>
  <c r="G58" i="4"/>
  <c r="E1523" i="4"/>
  <c r="G1523" i="4" s="1"/>
  <c r="G1524" i="4" s="1"/>
  <c r="F258" i="8" l="1"/>
  <c r="F259" i="8"/>
  <c r="F260" i="8"/>
  <c r="E22" i="7"/>
  <c r="E23" i="7"/>
  <c r="H9" i="7"/>
  <c r="H11" i="7" s="1"/>
  <c r="F9" i="7"/>
  <c r="C13" i="7"/>
  <c r="F13" i="7" s="1"/>
  <c r="E1383" i="4"/>
  <c r="F1383" i="4" s="1"/>
  <c r="E395" i="4"/>
  <c r="F395" i="4" s="1"/>
  <c r="C73" i="8" l="1"/>
  <c r="C75" i="8" s="1"/>
  <c r="F15" i="7"/>
  <c r="F16" i="7" s="1"/>
  <c r="K9" i="7"/>
  <c r="M9" i="7"/>
  <c r="G395" i="4"/>
  <c r="C61" i="8" l="1"/>
  <c r="C62" i="8" s="1"/>
  <c r="M13" i="7"/>
  <c r="P13" i="7" s="1"/>
  <c r="R13" i="7" s="1"/>
  <c r="P9" i="7"/>
  <c r="E1890" i="4"/>
  <c r="L19" i="6"/>
  <c r="C67" i="8" l="1"/>
  <c r="C68" i="8"/>
  <c r="C72" i="8" s="1"/>
  <c r="C120" i="8" s="1"/>
  <c r="C119" i="8" l="1"/>
  <c r="E1878" i="4"/>
  <c r="E1964" i="4"/>
  <c r="F1964" i="4" s="1"/>
  <c r="G1964" i="4" s="1"/>
  <c r="G1965" i="4" s="1"/>
  <c r="B1961" i="4"/>
  <c r="B1964" i="4" s="1"/>
  <c r="O1963" i="4"/>
  <c r="J1963" i="4"/>
  <c r="O1962" i="4"/>
  <c r="J1962" i="4"/>
  <c r="B1955" i="4"/>
  <c r="B1958" i="4" s="1"/>
  <c r="E1952" i="4"/>
  <c r="F1952" i="4" s="1"/>
  <c r="B1949" i="4"/>
  <c r="B1952" i="4" s="1"/>
  <c r="F1958" i="4"/>
  <c r="G1958" i="4" s="1"/>
  <c r="G1959" i="4" s="1"/>
  <c r="O1957" i="4"/>
  <c r="J1957" i="4"/>
  <c r="J1961" i="4" s="1"/>
  <c r="K1961" i="4" s="1"/>
  <c r="O1956" i="4"/>
  <c r="J1956" i="4"/>
  <c r="O1951" i="4"/>
  <c r="J1951" i="4"/>
  <c r="J1955" i="4" s="1"/>
  <c r="K1955" i="4" s="1"/>
  <c r="O1950" i="4"/>
  <c r="J1950" i="4"/>
  <c r="B1943" i="4"/>
  <c r="B1946" i="4" s="1"/>
  <c r="F1946" i="4"/>
  <c r="G1946" i="4" s="1"/>
  <c r="G1947" i="4" s="1"/>
  <c r="O1945" i="4"/>
  <c r="J1945" i="4"/>
  <c r="J1949" i="4" s="1"/>
  <c r="K1949" i="4" s="1"/>
  <c r="O1944" i="4"/>
  <c r="J1944" i="4"/>
  <c r="F1940" i="4"/>
  <c r="G1940" i="4" s="1"/>
  <c r="G1941" i="4" s="1"/>
  <c r="B1937" i="4"/>
  <c r="B1940" i="4" s="1"/>
  <c r="B1935" i="4"/>
  <c r="O1939" i="4"/>
  <c r="J1939" i="4"/>
  <c r="J1943" i="4" s="1"/>
  <c r="K1943" i="4" s="1"/>
  <c r="O1938" i="4"/>
  <c r="O1940" i="4" s="1"/>
  <c r="P1940" i="4" s="1"/>
  <c r="J1938" i="4"/>
  <c r="J1937" i="4"/>
  <c r="K1937" i="4" s="1"/>
  <c r="E1932" i="4"/>
  <c r="F1932" i="4" s="1"/>
  <c r="G1932" i="4" s="1"/>
  <c r="G1933" i="4" s="1"/>
  <c r="B1929" i="4"/>
  <c r="B1932" i="4" s="1"/>
  <c r="O1931" i="4"/>
  <c r="J1931" i="4"/>
  <c r="O1930" i="4"/>
  <c r="J1930" i="4"/>
  <c r="E1926" i="4"/>
  <c r="F1926" i="4" s="1"/>
  <c r="G1926" i="4" s="1"/>
  <c r="G1927" i="4" s="1"/>
  <c r="B1923" i="4"/>
  <c r="B1926" i="4" s="1"/>
  <c r="O1925" i="4"/>
  <c r="J1925" i="4"/>
  <c r="J1929" i="4" s="1"/>
  <c r="K1929" i="4" s="1"/>
  <c r="O1924" i="4"/>
  <c r="J1924" i="4"/>
  <c r="O1926" i="4" l="1"/>
  <c r="P1926" i="4" s="1"/>
  <c r="O1932" i="4"/>
  <c r="P1932" i="4" s="1"/>
  <c r="O1952" i="4"/>
  <c r="P1952" i="4" s="1"/>
  <c r="Q1952" i="4" s="1"/>
  <c r="O1958" i="4"/>
  <c r="P1958" i="4" s="1"/>
  <c r="O1964" i="4"/>
  <c r="P1964" i="4" s="1"/>
  <c r="O1946" i="4"/>
  <c r="P1946" i="4" s="1"/>
  <c r="Q1946" i="4" s="1"/>
  <c r="Q1932" i="4"/>
  <c r="Q1964" i="4"/>
  <c r="Q1958" i="4"/>
  <c r="Q1940" i="4"/>
  <c r="G1952" i="4"/>
  <c r="G1953" i="4" s="1"/>
  <c r="G1410" i="4"/>
  <c r="G1404" i="4"/>
  <c r="B1917" i="4"/>
  <c r="B1920" i="4" s="1"/>
  <c r="F1920" i="4"/>
  <c r="G1920" i="4" s="1"/>
  <c r="G1921" i="4" s="1"/>
  <c r="O1919" i="4"/>
  <c r="J1919" i="4"/>
  <c r="J1923" i="4" s="1"/>
  <c r="K1923" i="4" s="1"/>
  <c r="O1918" i="4"/>
  <c r="J1918" i="4"/>
  <c r="B1911" i="4"/>
  <c r="B1914" i="4" s="1"/>
  <c r="F1914" i="4"/>
  <c r="G1914" i="4" s="1"/>
  <c r="G1915" i="4" s="1"/>
  <c r="O1913" i="4"/>
  <c r="J1913" i="4"/>
  <c r="J1917" i="4" s="1"/>
  <c r="K1917" i="4" s="1"/>
  <c r="O1912" i="4"/>
  <c r="O1914" i="4" s="1"/>
  <c r="P1914" i="4" s="1"/>
  <c r="J1912" i="4"/>
  <c r="B1905" i="4"/>
  <c r="B1908" i="4" s="1"/>
  <c r="F1908" i="4"/>
  <c r="G1908" i="4" s="1"/>
  <c r="G1909" i="4" s="1"/>
  <c r="O1907" i="4"/>
  <c r="J1907" i="4"/>
  <c r="J1911" i="4" s="1"/>
  <c r="K1911" i="4" s="1"/>
  <c r="O1906" i="4"/>
  <c r="O1908" i="4" s="1"/>
  <c r="P1908" i="4" s="1"/>
  <c r="J1906" i="4"/>
  <c r="B1899" i="4"/>
  <c r="B1902" i="4" s="1"/>
  <c r="F1902" i="4"/>
  <c r="G1902" i="4" s="1"/>
  <c r="G1903" i="4" s="1"/>
  <c r="O1901" i="4"/>
  <c r="J1901" i="4"/>
  <c r="J1905" i="4" s="1"/>
  <c r="K1905" i="4" s="1"/>
  <c r="O1900" i="4"/>
  <c r="O1902" i="4" s="1"/>
  <c r="P1902" i="4" s="1"/>
  <c r="J1900" i="4"/>
  <c r="B1893" i="4"/>
  <c r="B1896" i="4" s="1"/>
  <c r="F1896" i="4"/>
  <c r="G1896" i="4" s="1"/>
  <c r="G1897" i="4" s="1"/>
  <c r="O1895" i="4"/>
  <c r="J1895" i="4"/>
  <c r="J1899" i="4" s="1"/>
  <c r="K1899" i="4" s="1"/>
  <c r="O1894" i="4"/>
  <c r="O1896" i="4" s="1"/>
  <c r="P1896" i="4" s="1"/>
  <c r="J1894" i="4"/>
  <c r="B1887" i="4"/>
  <c r="B1890" i="4" s="1"/>
  <c r="F1890" i="4"/>
  <c r="G1890" i="4" s="1"/>
  <c r="G1891" i="4" s="1"/>
  <c r="O1889" i="4"/>
  <c r="J1889" i="4"/>
  <c r="J1893" i="4" s="1"/>
  <c r="K1893" i="4" s="1"/>
  <c r="O1888" i="4"/>
  <c r="O1890" i="4" s="1"/>
  <c r="P1890" i="4" s="1"/>
  <c r="J1888" i="4"/>
  <c r="B1881" i="4"/>
  <c r="B1884" i="4" s="1"/>
  <c r="F1884" i="4"/>
  <c r="G1884" i="4" s="1"/>
  <c r="G1885" i="4" s="1"/>
  <c r="O1883" i="4"/>
  <c r="J1883" i="4"/>
  <c r="J1887" i="4" s="1"/>
  <c r="K1887" i="4" s="1"/>
  <c r="O1882" i="4"/>
  <c r="O1884" i="4" s="1"/>
  <c r="P1884" i="4" s="1"/>
  <c r="J1882" i="4"/>
  <c r="B1875" i="4"/>
  <c r="B1878" i="4" s="1"/>
  <c r="F1878" i="4"/>
  <c r="G1878" i="4" s="1"/>
  <c r="G1879" i="4" s="1"/>
  <c r="O1877" i="4"/>
  <c r="J1877" i="4"/>
  <c r="J1881" i="4" s="1"/>
  <c r="K1881" i="4" s="1"/>
  <c r="O1876" i="4"/>
  <c r="O1878" i="4" s="1"/>
  <c r="P1878" i="4" s="1"/>
  <c r="J1876" i="4"/>
  <c r="B1869" i="4"/>
  <c r="B1872" i="4" s="1"/>
  <c r="F1872" i="4"/>
  <c r="G1872" i="4" s="1"/>
  <c r="G1873" i="4" s="1"/>
  <c r="O1871" i="4"/>
  <c r="J1871" i="4"/>
  <c r="J1875" i="4" s="1"/>
  <c r="K1875" i="4" s="1"/>
  <c r="O1870" i="4"/>
  <c r="O1872" i="4" s="1"/>
  <c r="P1872" i="4" s="1"/>
  <c r="J1870" i="4"/>
  <c r="B1863" i="4"/>
  <c r="B1866" i="4" s="1"/>
  <c r="B1861" i="4"/>
  <c r="F1866" i="4"/>
  <c r="G1866" i="4" s="1"/>
  <c r="G1867" i="4" s="1"/>
  <c r="O1865" i="4"/>
  <c r="J1865" i="4"/>
  <c r="J1869" i="4" s="1"/>
  <c r="K1869" i="4" s="1"/>
  <c r="O1864" i="4"/>
  <c r="O1866" i="4" s="1"/>
  <c r="P1866" i="4" s="1"/>
  <c r="J1864" i="4"/>
  <c r="J1863" i="4"/>
  <c r="K1863" i="4" s="1"/>
  <c r="B1814" i="4"/>
  <c r="E826" i="4"/>
  <c r="E836" i="4" s="1"/>
  <c r="E846" i="4" s="1"/>
  <c r="G1858" i="4"/>
  <c r="B1853" i="4"/>
  <c r="G1857" i="4"/>
  <c r="O1855" i="4"/>
  <c r="J1855" i="4"/>
  <c r="O1854" i="4"/>
  <c r="J1854" i="4"/>
  <c r="E1850" i="4"/>
  <c r="G1850" i="4" s="1"/>
  <c r="G1851" i="4" s="1"/>
  <c r="B1847" i="4"/>
  <c r="O1849" i="4"/>
  <c r="J1849" i="4"/>
  <c r="O1848" i="4"/>
  <c r="J1848" i="4"/>
  <c r="B1839" i="4"/>
  <c r="G1844" i="4"/>
  <c r="J1843" i="4"/>
  <c r="J1847" i="4" s="1"/>
  <c r="K1847" i="4" s="1"/>
  <c r="J1857" i="4" s="1"/>
  <c r="G1843" i="4"/>
  <c r="G1842" i="4"/>
  <c r="O1841" i="4"/>
  <c r="J1841" i="4"/>
  <c r="O1840" i="4"/>
  <c r="O1842" i="4" s="1"/>
  <c r="P1842" i="4" s="1"/>
  <c r="Q1842" i="4" s="1"/>
  <c r="J1840" i="4"/>
  <c r="G1835" i="4"/>
  <c r="G1836" i="4"/>
  <c r="J1825" i="4"/>
  <c r="K1825" i="4" s="1"/>
  <c r="J1835" i="4" s="1"/>
  <c r="B1831" i="4"/>
  <c r="O1833" i="4"/>
  <c r="J1833" i="4"/>
  <c r="O1832" i="4"/>
  <c r="J1832" i="4"/>
  <c r="B1823" i="4"/>
  <c r="B1825" i="4"/>
  <c r="O1827" i="4"/>
  <c r="J1827" i="4"/>
  <c r="O1826" i="4"/>
  <c r="J1826" i="4"/>
  <c r="O1828" i="4" l="1"/>
  <c r="P1828" i="4" s="1"/>
  <c r="Q1828" i="4" s="1"/>
  <c r="O1856" i="4"/>
  <c r="P1856" i="4" s="1"/>
  <c r="Q1856" i="4" s="1"/>
  <c r="O1920" i="4"/>
  <c r="P1920" i="4" s="1"/>
  <c r="O1834" i="4"/>
  <c r="P1834" i="4" s="1"/>
  <c r="Q1834" i="4" s="1"/>
  <c r="O1850" i="4"/>
  <c r="P1850" i="4" s="1"/>
  <c r="Q1872" i="4"/>
  <c r="Q1914" i="4"/>
  <c r="Q1920" i="4"/>
  <c r="Q1878" i="4"/>
  <c r="Q1896" i="4"/>
  <c r="Q1902" i="4"/>
  <c r="Q1908" i="4"/>
  <c r="Q1866" i="4"/>
  <c r="Q1884" i="4"/>
  <c r="Q1890" i="4"/>
  <c r="Q1926" i="4"/>
  <c r="G1845" i="4"/>
  <c r="Q1850" i="4"/>
  <c r="G1834" i="4"/>
  <c r="G1837" i="4" s="1"/>
  <c r="B1776" i="4"/>
  <c r="G1782" i="4"/>
  <c r="G1781" i="4"/>
  <c r="O1778" i="4"/>
  <c r="J1778" i="4"/>
  <c r="O1777" i="4"/>
  <c r="J1777" i="4"/>
  <c r="B1736" i="4"/>
  <c r="B1673" i="4"/>
  <c r="I1817" i="4"/>
  <c r="J1817" i="4" s="1"/>
  <c r="E1817" i="4"/>
  <c r="F1817" i="4" s="1"/>
  <c r="C1817" i="4"/>
  <c r="I1816" i="4"/>
  <c r="O1815" i="4"/>
  <c r="O1816" i="4" s="1"/>
  <c r="P1816" i="4" s="1"/>
  <c r="Q1816" i="4" s="1"/>
  <c r="J1815" i="4"/>
  <c r="G1810" i="4"/>
  <c r="E1809" i="4"/>
  <c r="F1809" i="4" s="1"/>
  <c r="O1808" i="4"/>
  <c r="O1809" i="4" s="1"/>
  <c r="P1809" i="4" s="1"/>
  <c r="Q1809" i="4" s="1"/>
  <c r="J1808" i="4"/>
  <c r="B1807" i="4"/>
  <c r="G1804" i="4"/>
  <c r="E1803" i="4"/>
  <c r="F1803" i="4" s="1"/>
  <c r="O1802" i="4"/>
  <c r="O1803" i="4" s="1"/>
  <c r="P1803" i="4" s="1"/>
  <c r="Q1803" i="4" s="1"/>
  <c r="J1802" i="4"/>
  <c r="B1801" i="4"/>
  <c r="G1798" i="4"/>
  <c r="O1795" i="4"/>
  <c r="J1795" i="4"/>
  <c r="O1794" i="4"/>
  <c r="O1796" i="4" s="1"/>
  <c r="P1796" i="4" s="1"/>
  <c r="Q1796" i="4" s="1"/>
  <c r="J1794" i="4"/>
  <c r="B1793" i="4"/>
  <c r="G1790" i="4"/>
  <c r="O1787" i="4"/>
  <c r="J1787" i="4"/>
  <c r="O1786" i="4"/>
  <c r="J1786" i="4"/>
  <c r="B1785" i="4"/>
  <c r="G1773" i="4"/>
  <c r="G1772" i="4"/>
  <c r="O1769" i="4"/>
  <c r="J1769" i="4"/>
  <c r="O1768" i="4"/>
  <c r="O1770" i="4" s="1"/>
  <c r="P1770" i="4" s="1"/>
  <c r="Q1770" i="4" s="1"/>
  <c r="J1768" i="4"/>
  <c r="B1767" i="4"/>
  <c r="G1764" i="4"/>
  <c r="G1763" i="4"/>
  <c r="E1762" i="4"/>
  <c r="F1762" i="4" s="1"/>
  <c r="O1757" i="4"/>
  <c r="O1758" i="4" s="1"/>
  <c r="P1758" i="4" s="1"/>
  <c r="Q1758" i="4" s="1"/>
  <c r="J1757" i="4"/>
  <c r="B1756" i="4"/>
  <c r="G1753" i="4"/>
  <c r="G1752" i="4"/>
  <c r="E1751" i="4"/>
  <c r="F1751" i="4" s="1"/>
  <c r="O1746" i="4"/>
  <c r="O1747" i="4" s="1"/>
  <c r="P1747" i="4" s="1"/>
  <c r="Q1747" i="4" s="1"/>
  <c r="J1746" i="4"/>
  <c r="B1745" i="4"/>
  <c r="C1733" i="4"/>
  <c r="G1733" i="4" s="1"/>
  <c r="G1732" i="4"/>
  <c r="C1731" i="4"/>
  <c r="L1727" i="4"/>
  <c r="O1727" i="4" s="1"/>
  <c r="P1727" i="4" s="1"/>
  <c r="J1726" i="4"/>
  <c r="J1727" i="4" s="1"/>
  <c r="B1726" i="4"/>
  <c r="C1723" i="4"/>
  <c r="G1723" i="4" s="1"/>
  <c r="C1722" i="4"/>
  <c r="J1720" i="4"/>
  <c r="O1719" i="4"/>
  <c r="O1718" i="4"/>
  <c r="J1718" i="4"/>
  <c r="J1719" i="4" s="1"/>
  <c r="B1718" i="4"/>
  <c r="G1715" i="4"/>
  <c r="C1714" i="4"/>
  <c r="J1712" i="4"/>
  <c r="O1711" i="4"/>
  <c r="O1712" i="4" s="1"/>
  <c r="P1712" i="4" s="1"/>
  <c r="Q1712" i="4" s="1"/>
  <c r="J1711" i="4"/>
  <c r="B1710" i="4"/>
  <c r="G1706" i="4"/>
  <c r="G1705" i="4"/>
  <c r="G1704" i="4"/>
  <c r="B1701" i="4"/>
  <c r="G1697" i="4"/>
  <c r="G1696" i="4"/>
  <c r="B1694" i="4"/>
  <c r="C1690" i="4"/>
  <c r="G1690" i="4" s="1"/>
  <c r="G1689" i="4"/>
  <c r="B1687" i="4"/>
  <c r="C1683" i="4"/>
  <c r="G1683" i="4" s="1"/>
  <c r="G1682" i="4"/>
  <c r="B1680" i="4"/>
  <c r="H1678" i="4"/>
  <c r="L1677" i="4"/>
  <c r="O1677" i="4" s="1"/>
  <c r="P1677" i="4" s="1"/>
  <c r="Q1677" i="4" s="1"/>
  <c r="J1677" i="4"/>
  <c r="G1677" i="4"/>
  <c r="G1678" i="4" s="1"/>
  <c r="O1676" i="4"/>
  <c r="J1676" i="4"/>
  <c r="B1675" i="4"/>
  <c r="B1677" i="4" s="1"/>
  <c r="B1642" i="4"/>
  <c r="B1636" i="4"/>
  <c r="B1628" i="4"/>
  <c r="B1620" i="4"/>
  <c r="B1611" i="4"/>
  <c r="B1600" i="4"/>
  <c r="B1589" i="4"/>
  <c r="C1586" i="4"/>
  <c r="G1586" i="4" s="1"/>
  <c r="C1584" i="4"/>
  <c r="L1580" i="4"/>
  <c r="O1580" i="4" s="1"/>
  <c r="P1580" i="4" s="1"/>
  <c r="J1579" i="4"/>
  <c r="K1579" i="4" s="1"/>
  <c r="B1579" i="4"/>
  <c r="G1585" i="4"/>
  <c r="C1576" i="4"/>
  <c r="G1576" i="4" s="1"/>
  <c r="O1571" i="4"/>
  <c r="J1571" i="4"/>
  <c r="J1572" i="4" s="1"/>
  <c r="B1571" i="4"/>
  <c r="C1575" i="4"/>
  <c r="J1573" i="4"/>
  <c r="O1572" i="4"/>
  <c r="B1563" i="4"/>
  <c r="B1554" i="4"/>
  <c r="B1547" i="4"/>
  <c r="B1540" i="4"/>
  <c r="C1543" i="4"/>
  <c r="G1543" i="4" s="1"/>
  <c r="G1542" i="4"/>
  <c r="B1533" i="4"/>
  <c r="B1528" i="4"/>
  <c r="B1530" i="4" s="1"/>
  <c r="H1531" i="4"/>
  <c r="L1530" i="4"/>
  <c r="O1530" i="4" s="1"/>
  <c r="P1530" i="4" s="1"/>
  <c r="Q1530" i="4" s="1"/>
  <c r="J1530" i="4"/>
  <c r="G1530" i="4"/>
  <c r="G1531" i="4" s="1"/>
  <c r="O1529" i="4"/>
  <c r="J1529" i="4"/>
  <c r="B1526" i="4"/>
  <c r="O1788" i="4" l="1"/>
  <c r="P1788" i="4" s="1"/>
  <c r="Q1788" i="4" s="1"/>
  <c r="O1779" i="4"/>
  <c r="P1779" i="4" s="1"/>
  <c r="Q1779" i="4" s="1"/>
  <c r="F266" i="8"/>
  <c r="G269" i="8" s="1"/>
  <c r="E1691" i="4"/>
  <c r="G1691" i="4" s="1"/>
  <c r="E1698" i="4"/>
  <c r="G1698" i="4" s="1"/>
  <c r="G1699" i="4" s="1"/>
  <c r="K1726" i="4"/>
  <c r="O1726" i="4" s="1"/>
  <c r="O1728" i="4" s="1"/>
  <c r="P1728" i="4" s="1"/>
  <c r="Q1728" i="4" s="1"/>
  <c r="G1692" i="4"/>
  <c r="G1708" i="4"/>
  <c r="O1720" i="4"/>
  <c r="P1720" i="4" s="1"/>
  <c r="Q1720" i="4" s="1"/>
  <c r="G1762" i="4"/>
  <c r="G1803" i="4"/>
  <c r="G1805" i="4" s="1"/>
  <c r="G1817" i="4"/>
  <c r="P1718" i="4"/>
  <c r="E1684" i="4"/>
  <c r="G1684" i="4" s="1"/>
  <c r="G1685" i="4" s="1"/>
  <c r="G1751" i="4"/>
  <c r="G1809" i="4"/>
  <c r="J1581" i="4"/>
  <c r="O1579" i="4"/>
  <c r="P1571" i="4"/>
  <c r="J1580" i="4"/>
  <c r="O1573" i="4"/>
  <c r="P1573" i="4" s="1"/>
  <c r="Q1573" i="4" s="1"/>
  <c r="E1544" i="4"/>
  <c r="G1544" i="4" s="1"/>
  <c r="G1545" i="4" s="1"/>
  <c r="B1517" i="4"/>
  <c r="K1516" i="4"/>
  <c r="B1512" i="4"/>
  <c r="B1506" i="4"/>
  <c r="B1499" i="4"/>
  <c r="B1493" i="4"/>
  <c r="B1485" i="4"/>
  <c r="B1477" i="4"/>
  <c r="B1468" i="4"/>
  <c r="J1438" i="4"/>
  <c r="B1438" i="4"/>
  <c r="F1403" i="4"/>
  <c r="G1403" i="4" s="1"/>
  <c r="B1407" i="4"/>
  <c r="B1409" i="4" s="1"/>
  <c r="O1408" i="4"/>
  <c r="O1409" i="4" s="1"/>
  <c r="P1409" i="4" s="1"/>
  <c r="Q1409" i="4" s="1"/>
  <c r="J1408" i="4"/>
  <c r="B1401" i="4"/>
  <c r="O1402" i="4"/>
  <c r="O1403" i="4" s="1"/>
  <c r="P1403" i="4" s="1"/>
  <c r="Q1403" i="4" s="1"/>
  <c r="J1402" i="4"/>
  <c r="E1398" i="4"/>
  <c r="F1398" i="4" s="1"/>
  <c r="G1398" i="4" s="1"/>
  <c r="G1399" i="4" s="1"/>
  <c r="B1396" i="4"/>
  <c r="B1398" i="4" s="1"/>
  <c r="B1391" i="4"/>
  <c r="B1393" i="4" s="1"/>
  <c r="B1386" i="4"/>
  <c r="B1388" i="4" s="1"/>
  <c r="O1397" i="4"/>
  <c r="O1398" i="4" s="1"/>
  <c r="P1398" i="4" s="1"/>
  <c r="Q1398" i="4" s="1"/>
  <c r="J1397" i="4"/>
  <c r="E1393" i="4"/>
  <c r="O1392" i="4"/>
  <c r="O1393" i="4" s="1"/>
  <c r="P1393" i="4" s="1"/>
  <c r="Q1393" i="4" s="1"/>
  <c r="J1392" i="4"/>
  <c r="O1387" i="4"/>
  <c r="O1388" i="4" s="1"/>
  <c r="P1388" i="4" s="1"/>
  <c r="Q1388" i="4" s="1"/>
  <c r="J1387" i="4"/>
  <c r="B1381" i="4"/>
  <c r="B1383" i="4" s="1"/>
  <c r="O1384" i="4"/>
  <c r="P1384" i="4" s="1"/>
  <c r="K1383" i="4"/>
  <c r="G1383" i="4"/>
  <c r="K1378" i="4"/>
  <c r="B1363" i="4"/>
  <c r="B1350" i="4"/>
  <c r="B1339" i="4"/>
  <c r="O1348" i="4"/>
  <c r="P1348" i="4" s="1"/>
  <c r="G1347" i="4"/>
  <c r="F1346" i="4"/>
  <c r="G1346" i="4" s="1"/>
  <c r="F1345" i="4"/>
  <c r="G1345" i="4" s="1"/>
  <c r="F1344" i="4"/>
  <c r="G1344" i="4" s="1"/>
  <c r="F1343" i="4"/>
  <c r="G1343" i="4" s="1"/>
  <c r="F1342" i="4"/>
  <c r="G1342" i="4" s="1"/>
  <c r="K1341" i="4"/>
  <c r="F1341" i="4"/>
  <c r="G1341" i="4" s="1"/>
  <c r="B1328" i="4"/>
  <c r="B1317" i="4"/>
  <c r="G1302" i="4"/>
  <c r="B1292" i="4"/>
  <c r="XFD1303" i="4"/>
  <c r="O1303" i="4"/>
  <c r="P1303" i="4" s="1"/>
  <c r="G1301" i="4"/>
  <c r="F1300" i="4"/>
  <c r="G1300" i="4" s="1"/>
  <c r="F1299" i="4"/>
  <c r="G1299" i="4" s="1"/>
  <c r="F1298" i="4"/>
  <c r="G1298" i="4" s="1"/>
  <c r="F1297" i="4"/>
  <c r="G1297" i="4" s="1"/>
  <c r="F1296" i="4"/>
  <c r="G1296" i="4" s="1"/>
  <c r="F1295" i="4"/>
  <c r="G1295" i="4" s="1"/>
  <c r="K1294" i="4"/>
  <c r="F1294" i="4"/>
  <c r="G1294" i="4" s="1"/>
  <c r="B1305" i="4"/>
  <c r="F245" i="8" l="1"/>
  <c r="G1405" i="4"/>
  <c r="J1728" i="4"/>
  <c r="P1726" i="4"/>
  <c r="E1811" i="4"/>
  <c r="G1811" i="4" s="1"/>
  <c r="G1812" i="4" s="1"/>
  <c r="P1579" i="4"/>
  <c r="O1581" i="4"/>
  <c r="P1581" i="4" s="1"/>
  <c r="Q1581" i="4" s="1"/>
  <c r="F1409" i="4"/>
  <c r="G1409" i="4" s="1"/>
  <c r="F1393" i="4"/>
  <c r="G1393" i="4" s="1"/>
  <c r="G1394" i="4" s="1"/>
  <c r="G1303" i="4"/>
  <c r="G1348" i="4"/>
  <c r="F203" i="8" l="1"/>
  <c r="F358" i="8"/>
  <c r="F216" i="8"/>
  <c r="F207" i="8"/>
  <c r="F362" i="8"/>
  <c r="G1411" i="4"/>
  <c r="B1280" i="4" l="1"/>
  <c r="B1268" i="4"/>
  <c r="E1264" i="4"/>
  <c r="F1264" i="4" s="1"/>
  <c r="B1256" i="4"/>
  <c r="XFD1266" i="4"/>
  <c r="O1266" i="4"/>
  <c r="P1266" i="4" s="1"/>
  <c r="G1265" i="4"/>
  <c r="F1263" i="4"/>
  <c r="G1263" i="4" s="1"/>
  <c r="F1262" i="4"/>
  <c r="G1262" i="4" s="1"/>
  <c r="F1261" i="4"/>
  <c r="G1261" i="4" s="1"/>
  <c r="F1260" i="4"/>
  <c r="G1260" i="4" s="1"/>
  <c r="F1259" i="4"/>
  <c r="G1259" i="4" s="1"/>
  <c r="K1258" i="4"/>
  <c r="F1258" i="4"/>
  <c r="G1258" i="4" s="1"/>
  <c r="E1252" i="4"/>
  <c r="B1245" i="4"/>
  <c r="B1221" i="4"/>
  <c r="C1216" i="4"/>
  <c r="G1264" i="4" l="1"/>
  <c r="G1266" i="4" s="1"/>
  <c r="F355" i="8" l="1"/>
  <c r="F200" i="8"/>
  <c r="B1162" i="4"/>
  <c r="G1172" i="4"/>
  <c r="G1170" i="4"/>
  <c r="G1169" i="4"/>
  <c r="G1168" i="4"/>
  <c r="G1167" i="4"/>
  <c r="G1166" i="4"/>
  <c r="L1164" i="4"/>
  <c r="O1164" i="4" s="1"/>
  <c r="P1164" i="4" s="1"/>
  <c r="Q1164" i="4" s="1"/>
  <c r="J1164" i="4"/>
  <c r="O1163" i="4"/>
  <c r="J1163" i="4"/>
  <c r="G1173" i="4" l="1"/>
  <c r="B1200" i="4" l="1"/>
  <c r="G1196" i="4"/>
  <c r="G1195" i="4"/>
  <c r="G1194" i="4"/>
  <c r="B1175" i="4"/>
  <c r="L1211" i="4"/>
  <c r="O1211" i="4" s="1"/>
  <c r="P1211" i="4" s="1"/>
  <c r="Q1211" i="4" s="1"/>
  <c r="J1211" i="4"/>
  <c r="E1211" i="4"/>
  <c r="F1211" i="4" s="1"/>
  <c r="O1210" i="4"/>
  <c r="J1210" i="4"/>
  <c r="B1211" i="4"/>
  <c r="L1216" i="4"/>
  <c r="O1216" i="4" s="1"/>
  <c r="P1216" i="4" s="1"/>
  <c r="Q1216" i="4" s="1"/>
  <c r="J1216" i="4"/>
  <c r="E1216" i="4"/>
  <c r="F1216" i="4" s="1"/>
  <c r="B1216" i="4"/>
  <c r="O1215" i="4"/>
  <c r="J1215" i="4"/>
  <c r="G1206" i="4"/>
  <c r="G1205" i="4"/>
  <c r="E1204" i="4"/>
  <c r="F1204" i="4" s="1"/>
  <c r="L1202" i="4"/>
  <c r="O1202" i="4" s="1"/>
  <c r="P1202" i="4" s="1"/>
  <c r="Q1202" i="4" s="1"/>
  <c r="J1202" i="4"/>
  <c r="O1201" i="4"/>
  <c r="J1201" i="4"/>
  <c r="G1188" i="4"/>
  <c r="G1187" i="4"/>
  <c r="G1186" i="4"/>
  <c r="G1185" i="4"/>
  <c r="G1184" i="4"/>
  <c r="F1183" i="4"/>
  <c r="G1183" i="4" s="1"/>
  <c r="F1182" i="4"/>
  <c r="G1182" i="4" s="1"/>
  <c r="F1181" i="4"/>
  <c r="G1181" i="4" s="1"/>
  <c r="G1180" i="4"/>
  <c r="F1179" i="4"/>
  <c r="G1179" i="4" s="1"/>
  <c r="L1177" i="4"/>
  <c r="O1177" i="4" s="1"/>
  <c r="P1177" i="4" s="1"/>
  <c r="Q1177" i="4" s="1"/>
  <c r="J1177" i="4"/>
  <c r="O1176" i="4"/>
  <c r="J1176" i="4"/>
  <c r="O1203" i="4" l="1"/>
  <c r="P1203" i="4" s="1"/>
  <c r="G1216" i="4"/>
  <c r="G1217" i="4" s="1"/>
  <c r="G1198" i="4"/>
  <c r="G1189" i="4"/>
  <c r="G1204" i="4"/>
  <c r="G1211" i="4"/>
  <c r="G1212" i="4" s="1"/>
  <c r="F191" i="8" l="1"/>
  <c r="G196" i="8" s="1"/>
  <c r="B1154" i="4"/>
  <c r="G1157" i="4"/>
  <c r="L1156" i="4"/>
  <c r="O1156" i="4" s="1"/>
  <c r="P1156" i="4" s="1"/>
  <c r="Q1156" i="4" s="1"/>
  <c r="J1156" i="4"/>
  <c r="O1155" i="4"/>
  <c r="J1155" i="4"/>
  <c r="B1148" i="4"/>
  <c r="B1142" i="4"/>
  <c r="B1135" i="4"/>
  <c r="G1138" i="4"/>
  <c r="G1137" i="4"/>
  <c r="B1129" i="4"/>
  <c r="G1132" i="4"/>
  <c r="L1131" i="4"/>
  <c r="O1131" i="4" s="1"/>
  <c r="P1131" i="4" s="1"/>
  <c r="Q1131" i="4" s="1"/>
  <c r="J1131" i="4"/>
  <c r="O1130" i="4"/>
  <c r="J1130" i="4"/>
  <c r="B1127" i="4"/>
  <c r="C1151" i="4"/>
  <c r="G1151" i="4" s="1"/>
  <c r="L1150" i="4"/>
  <c r="O1150" i="4" s="1"/>
  <c r="P1150" i="4" s="1"/>
  <c r="Q1150" i="4" s="1"/>
  <c r="J1150" i="4"/>
  <c r="O1149" i="4"/>
  <c r="J1149" i="4"/>
  <c r="G1145" i="4"/>
  <c r="L1144" i="4"/>
  <c r="O1144" i="4" s="1"/>
  <c r="P1144" i="4" s="1"/>
  <c r="Q1144" i="4" s="1"/>
  <c r="J1144" i="4"/>
  <c r="O1143" i="4"/>
  <c r="J1143" i="4"/>
  <c r="O1145" i="4" l="1"/>
  <c r="P1145" i="4" s="1"/>
  <c r="E1139" i="4"/>
  <c r="G1139" i="4" s="1"/>
  <c r="G1140" i="4" s="1"/>
  <c r="B1039" i="4"/>
  <c r="B1028" i="4"/>
  <c r="B1022" i="4"/>
  <c r="B1013" i="4"/>
  <c r="G1010" i="4"/>
  <c r="L1005" i="4"/>
  <c r="O1005" i="4" s="1"/>
  <c r="J1005" i="4"/>
  <c r="J1003" i="4"/>
  <c r="B1004" i="4"/>
  <c r="G1009" i="4"/>
  <c r="C1008" i="4"/>
  <c r="J1006" i="4"/>
  <c r="O1004" i="4"/>
  <c r="K1003" i="4"/>
  <c r="B996" i="4"/>
  <c r="B987" i="4"/>
  <c r="B980" i="4"/>
  <c r="B973" i="4"/>
  <c r="B971" i="4"/>
  <c r="B963" i="4"/>
  <c r="B958" i="4"/>
  <c r="B960" i="4" s="1"/>
  <c r="B965" i="4" s="1"/>
  <c r="B953" i="4"/>
  <c r="B897" i="4"/>
  <c r="B888" i="4"/>
  <c r="C856" i="4"/>
  <c r="B854" i="4"/>
  <c r="B852" i="4"/>
  <c r="E847" i="4"/>
  <c r="G847" i="4" s="1"/>
  <c r="G844" i="4"/>
  <c r="B842" i="4"/>
  <c r="G834" i="4"/>
  <c r="J828" i="4"/>
  <c r="I827" i="4" s="1"/>
  <c r="C828" i="4"/>
  <c r="E827" i="4"/>
  <c r="C827" i="4"/>
  <c r="C825" i="4"/>
  <c r="G824" i="4"/>
  <c r="B822" i="4"/>
  <c r="G814" i="4"/>
  <c r="B812" i="4"/>
  <c r="B806" i="4"/>
  <c r="C794" i="4"/>
  <c r="C793" i="4"/>
  <c r="C792" i="4"/>
  <c r="C796" i="4"/>
  <c r="B789" i="4"/>
  <c r="B776" i="4"/>
  <c r="G779" i="4"/>
  <c r="O777" i="4"/>
  <c r="O778" i="4" s="1"/>
  <c r="P778" i="4" s="1"/>
  <c r="Q778" i="4" s="1"/>
  <c r="B765" i="4"/>
  <c r="C756" i="4"/>
  <c r="J761" i="4"/>
  <c r="C761" i="4"/>
  <c r="C755" i="4" s="1"/>
  <c r="B753" i="4"/>
  <c r="J757" i="4"/>
  <c r="J755" i="4"/>
  <c r="B735" i="4"/>
  <c r="B727" i="4"/>
  <c r="O736" i="4"/>
  <c r="O737" i="4" s="1"/>
  <c r="P737" i="4" s="1"/>
  <c r="Q737" i="4" s="1"/>
  <c r="B717" i="4"/>
  <c r="O1006" i="4" l="1"/>
  <c r="P1006" i="4" s="1"/>
  <c r="Q1006" i="4" s="1"/>
  <c r="G827" i="4"/>
  <c r="B695" i="4"/>
  <c r="B648" i="4"/>
  <c r="B641" i="4"/>
  <c r="B620" i="4"/>
  <c r="B615" i="4"/>
  <c r="B610" i="4"/>
  <c r="B605" i="4"/>
  <c r="B607" i="4" s="1"/>
  <c r="E600" i="4"/>
  <c r="F600" i="4" s="1"/>
  <c r="G600" i="4" s="1"/>
  <c r="G601" i="4" s="1"/>
  <c r="B598" i="4"/>
  <c r="B600" i="4" s="1"/>
  <c r="H601" i="4"/>
  <c r="K597" i="4"/>
  <c r="K599" i="4" s="1"/>
  <c r="B593" i="4"/>
  <c r="K591" i="4"/>
  <c r="B588" i="4"/>
  <c r="B590" i="4" s="1"/>
  <c r="H591" i="4"/>
  <c r="K587" i="4"/>
  <c r="K589" i="4" s="1"/>
  <c r="B583" i="4"/>
  <c r="B585" i="4" s="1"/>
  <c r="H586" i="4"/>
  <c r="K582" i="4"/>
  <c r="K584" i="4" s="1"/>
  <c r="B578" i="4"/>
  <c r="B571" i="4"/>
  <c r="B566" i="4"/>
  <c r="F568" i="4"/>
  <c r="B568" i="4"/>
  <c r="K566" i="4"/>
  <c r="K565" i="4"/>
  <c r="B534" i="4"/>
  <c r="B557" i="4"/>
  <c r="B548" i="4"/>
  <c r="B539" i="4"/>
  <c r="B536" i="4"/>
  <c r="E524" i="4"/>
  <c r="F524" i="4" s="1"/>
  <c r="B522" i="4"/>
  <c r="B524" i="4" s="1"/>
  <c r="B515" i="4"/>
  <c r="B508" i="4"/>
  <c r="B500" i="4"/>
  <c r="B485" i="4"/>
  <c r="B478" i="4"/>
  <c r="F480" i="4"/>
  <c r="O479" i="4"/>
  <c r="O480" i="4" s="1"/>
  <c r="P480" i="4" s="1"/>
  <c r="Q480" i="4" s="1"/>
  <c r="J479" i="4"/>
  <c r="G475" i="4"/>
  <c r="B470" i="4"/>
  <c r="O471" i="4"/>
  <c r="O472" i="4" s="1"/>
  <c r="P472" i="4" s="1"/>
  <c r="Q472" i="4" s="1"/>
  <c r="J471" i="4"/>
  <c r="B459" i="4"/>
  <c r="B448" i="4"/>
  <c r="G467" i="4"/>
  <c r="G465" i="4"/>
  <c r="O460" i="4"/>
  <c r="O461" i="4" s="1"/>
  <c r="P461" i="4" s="1"/>
  <c r="Q461" i="4" s="1"/>
  <c r="J460" i="4"/>
  <c r="E440" i="4"/>
  <c r="B437" i="4"/>
  <c r="G445" i="4"/>
  <c r="G443" i="4"/>
  <c r="F440" i="4"/>
  <c r="O438" i="4"/>
  <c r="O439" i="4" s="1"/>
  <c r="P439" i="4" s="1"/>
  <c r="Q439" i="4" s="1"/>
  <c r="J438" i="4"/>
  <c r="E429" i="4"/>
  <c r="F429" i="4" s="1"/>
  <c r="B426" i="4"/>
  <c r="G434" i="4"/>
  <c r="G432" i="4"/>
  <c r="O427" i="4"/>
  <c r="O428" i="4" s="1"/>
  <c r="P428" i="4" s="1"/>
  <c r="Q428" i="4" s="1"/>
  <c r="J427" i="4"/>
  <c r="F116" i="8" l="1"/>
  <c r="F328" i="8"/>
  <c r="K567" i="4"/>
  <c r="G568" i="4"/>
  <c r="G569" i="4" s="1"/>
  <c r="G524" i="4"/>
  <c r="G525" i="4" s="1"/>
  <c r="G480" i="4"/>
  <c r="G481" i="4" s="1"/>
  <c r="G440" i="4"/>
  <c r="E444" i="4" s="1"/>
  <c r="G444" i="4" s="1"/>
  <c r="G429" i="4"/>
  <c r="E433" i="4" s="1"/>
  <c r="G433" i="4" s="1"/>
  <c r="F90" i="8" l="1"/>
  <c r="F108" i="8"/>
  <c r="G474" i="4"/>
  <c r="B415" i="4" l="1"/>
  <c r="B406" i="4"/>
  <c r="B399" i="4"/>
  <c r="F401" i="4"/>
  <c r="G401" i="4" s="1"/>
  <c r="O400" i="4"/>
  <c r="O401" i="4" s="1"/>
  <c r="P401" i="4" s="1"/>
  <c r="Q401" i="4" s="1"/>
  <c r="J400" i="4"/>
  <c r="B389" i="4"/>
  <c r="G394" i="4"/>
  <c r="G393" i="4"/>
  <c r="G391" i="4"/>
  <c r="O390" i="4"/>
  <c r="O391" i="4" s="1"/>
  <c r="P391" i="4" s="1"/>
  <c r="Q391" i="4" s="1"/>
  <c r="J390" i="4"/>
  <c r="B381" i="4"/>
  <c r="B373" i="4"/>
  <c r="B365" i="4"/>
  <c r="B357" i="4"/>
  <c r="B348" i="4"/>
  <c r="B339" i="4"/>
  <c r="B330" i="4"/>
  <c r="B295" i="4"/>
  <c r="G303" i="4"/>
  <c r="G302" i="4"/>
  <c r="E301" i="4"/>
  <c r="F301" i="4" s="1"/>
  <c r="B284" i="4"/>
  <c r="L290" i="4"/>
  <c r="O290" i="4" s="1"/>
  <c r="G290" i="4"/>
  <c r="C289" i="4"/>
  <c r="G289" i="4" s="1"/>
  <c r="J288" i="4"/>
  <c r="K289" i="4" s="1"/>
  <c r="O289" i="4" s="1"/>
  <c r="E288" i="4"/>
  <c r="F288" i="4" s="1"/>
  <c r="C288" i="4"/>
  <c r="L286" i="4"/>
  <c r="O286" i="4" s="1"/>
  <c r="P286" i="4" s="1"/>
  <c r="Q286" i="4" s="1"/>
  <c r="J286" i="4"/>
  <c r="O285" i="4"/>
  <c r="J285" i="4"/>
  <c r="B275" i="4"/>
  <c r="C269" i="4"/>
  <c r="O265" i="4"/>
  <c r="P265" i="4" s="1"/>
  <c r="O266" i="4"/>
  <c r="L267" i="4"/>
  <c r="J265" i="4"/>
  <c r="B265" i="4"/>
  <c r="B256" i="4"/>
  <c r="B246" i="4"/>
  <c r="G253" i="4"/>
  <c r="G252" i="4"/>
  <c r="C251" i="4"/>
  <c r="O248" i="4"/>
  <c r="P248" i="4" s="1"/>
  <c r="J248" i="4"/>
  <c r="O247" i="4"/>
  <c r="P247" i="4" s="1"/>
  <c r="J247" i="4"/>
  <c r="K245" i="4"/>
  <c r="B180" i="4"/>
  <c r="G188" i="4"/>
  <c r="G187" i="4"/>
  <c r="C186" i="4"/>
  <c r="L182" i="4"/>
  <c r="O182" i="4" s="1"/>
  <c r="P182" i="4" s="1"/>
  <c r="Q182" i="4" s="1"/>
  <c r="J180" i="4"/>
  <c r="K180" i="4" s="1"/>
  <c r="B169" i="4"/>
  <c r="G177" i="4"/>
  <c r="G176" i="4"/>
  <c r="C175" i="4"/>
  <c r="L171" i="4"/>
  <c r="O171" i="4" s="1"/>
  <c r="P171" i="4" s="1"/>
  <c r="Q171" i="4" s="1"/>
  <c r="J169" i="4"/>
  <c r="K169" i="4" s="1"/>
  <c r="C164" i="4"/>
  <c r="O160" i="4"/>
  <c r="P160" i="4" s="1"/>
  <c r="K158" i="4"/>
  <c r="B158" i="4"/>
  <c r="G166" i="4"/>
  <c r="G165" i="4"/>
  <c r="K147" i="4"/>
  <c r="K148" i="4" s="1"/>
  <c r="J149" i="4" s="1"/>
  <c r="B147" i="4"/>
  <c r="G402" i="4" l="1"/>
  <c r="G301" i="4"/>
  <c r="O291" i="4"/>
  <c r="P291" i="4" s="1"/>
  <c r="O287" i="4"/>
  <c r="P287" i="4" s="1"/>
  <c r="G288" i="4"/>
  <c r="J290" i="4"/>
  <c r="Q248" i="4"/>
  <c r="O250" i="4"/>
  <c r="P250" i="4" s="1"/>
  <c r="K181" i="4"/>
  <c r="O180" i="4"/>
  <c r="J181" i="4"/>
  <c r="K170" i="4"/>
  <c r="O169" i="4"/>
  <c r="J170" i="4"/>
  <c r="K159" i="4"/>
  <c r="O158" i="4"/>
  <c r="J159" i="4"/>
  <c r="B137" i="4"/>
  <c r="N131" i="4"/>
  <c r="O131" i="4" s="1"/>
  <c r="B126" i="4"/>
  <c r="G133" i="4"/>
  <c r="G132" i="4"/>
  <c r="I131" i="4"/>
  <c r="C131" i="4"/>
  <c r="N129" i="4"/>
  <c r="J128" i="4"/>
  <c r="I129" i="4" s="1"/>
  <c r="K117" i="4"/>
  <c r="J118" i="4"/>
  <c r="B118" i="4"/>
  <c r="B110" i="4"/>
  <c r="G115" i="4"/>
  <c r="C114" i="4"/>
  <c r="O110" i="4"/>
  <c r="K109" i="4"/>
  <c r="B99" i="4"/>
  <c r="B84" i="4"/>
  <c r="B77" i="4"/>
  <c r="B70" i="4"/>
  <c r="B63" i="4"/>
  <c r="B32" i="4"/>
  <c r="B45" i="4"/>
  <c r="B38" i="4"/>
  <c r="G41" i="4"/>
  <c r="G40" i="4"/>
  <c r="A317" i="4"/>
  <c r="E2" i="6" l="1"/>
  <c r="P180" i="4"/>
  <c r="J182" i="4"/>
  <c r="O181" i="4"/>
  <c r="P181" i="4" s="1"/>
  <c r="P169" i="4"/>
  <c r="J171" i="4"/>
  <c r="O170" i="4"/>
  <c r="P170" i="4" s="1"/>
  <c r="P158" i="4"/>
  <c r="J160" i="4"/>
  <c r="O159" i="4"/>
  <c r="N128" i="4"/>
  <c r="J111" i="4"/>
  <c r="K111" i="4" s="1"/>
  <c r="E42" i="4"/>
  <c r="G42" i="4" s="1"/>
  <c r="G43" i="4" s="1"/>
  <c r="E86" i="4"/>
  <c r="F86" i="4" s="1"/>
  <c r="F27" i="8" l="1"/>
  <c r="J112" i="4"/>
  <c r="O111" i="4"/>
  <c r="O112" i="4" s="1"/>
  <c r="P112" i="4" s="1"/>
  <c r="Q112" i="4" s="1"/>
  <c r="Q160" i="4"/>
  <c r="P159" i="4"/>
  <c r="O184" i="4"/>
  <c r="P184" i="4" s="1"/>
  <c r="O173" i="4"/>
  <c r="P173" i="4" s="1"/>
  <c r="O162" i="4"/>
  <c r="P162" i="4" s="1"/>
  <c r="N132" i="4"/>
  <c r="O132" i="4" s="1"/>
  <c r="O128" i="4"/>
  <c r="F21" i="6" l="1"/>
  <c r="I1667" i="4"/>
  <c r="J1667" i="4" s="1"/>
  <c r="I1666" i="4"/>
  <c r="E1667" i="4"/>
  <c r="F1667" i="4" s="1"/>
  <c r="C1667" i="4"/>
  <c r="G483" i="3"/>
  <c r="G481" i="3"/>
  <c r="G484" i="3"/>
  <c r="K486" i="3"/>
  <c r="I486" i="3"/>
  <c r="J485" i="3"/>
  <c r="K485" i="3" s="1"/>
  <c r="I485" i="3"/>
  <c r="O1665" i="4"/>
  <c r="O1666" i="4" s="1"/>
  <c r="P1666" i="4" s="1"/>
  <c r="Q1666" i="4" s="1"/>
  <c r="J1665" i="4"/>
  <c r="G1645" i="4"/>
  <c r="E1644" i="4"/>
  <c r="F1644" i="4" s="1"/>
  <c r="O1643" i="4"/>
  <c r="O1644" i="4" s="1"/>
  <c r="P1644" i="4" s="1"/>
  <c r="Q1644" i="4" s="1"/>
  <c r="J1643" i="4"/>
  <c r="G1639" i="4"/>
  <c r="E1638" i="4"/>
  <c r="F1638" i="4" s="1"/>
  <c r="O1637" i="4"/>
  <c r="O1638" i="4" s="1"/>
  <c r="P1638" i="4" s="1"/>
  <c r="Q1638" i="4" s="1"/>
  <c r="J1637" i="4"/>
  <c r="G1633" i="4"/>
  <c r="O1630" i="4"/>
  <c r="J1630" i="4"/>
  <c r="O1629" i="4"/>
  <c r="J1629" i="4"/>
  <c r="G1617" i="4"/>
  <c r="G1616" i="4"/>
  <c r="O1613" i="4"/>
  <c r="J1613" i="4"/>
  <c r="O1612" i="4"/>
  <c r="J1612" i="4"/>
  <c r="G1625" i="4"/>
  <c r="O1622" i="4"/>
  <c r="J1622" i="4"/>
  <c r="O1621" i="4"/>
  <c r="O1623" i="4" s="1"/>
  <c r="P1623" i="4" s="1"/>
  <c r="Q1623" i="4" s="1"/>
  <c r="J1621" i="4"/>
  <c r="G1608" i="4"/>
  <c r="G1607" i="4"/>
  <c r="E1606" i="4"/>
  <c r="O1601" i="4"/>
  <c r="O1602" i="4" s="1"/>
  <c r="P1602" i="4" s="1"/>
  <c r="Q1602" i="4" s="1"/>
  <c r="J1601" i="4"/>
  <c r="G1597" i="4"/>
  <c r="G1596" i="4"/>
  <c r="E1595" i="4"/>
  <c r="O1590" i="4"/>
  <c r="O1591" i="4" s="1"/>
  <c r="P1591" i="4" s="1"/>
  <c r="Q1591" i="4" s="1"/>
  <c r="J1590" i="4"/>
  <c r="G1559" i="4"/>
  <c r="G1558" i="4"/>
  <c r="G1557" i="4"/>
  <c r="G1550" i="4"/>
  <c r="G1549" i="4"/>
  <c r="C1536" i="4"/>
  <c r="G1536" i="4" s="1"/>
  <c r="G1535" i="4"/>
  <c r="G1509" i="4"/>
  <c r="L1508" i="4"/>
  <c r="O1508" i="4" s="1"/>
  <c r="P1508" i="4" s="1"/>
  <c r="Q1508" i="4" s="1"/>
  <c r="J1508" i="4"/>
  <c r="G1508" i="4"/>
  <c r="O1507" i="4"/>
  <c r="J1507" i="4"/>
  <c r="G1482" i="4"/>
  <c r="O1479" i="4"/>
  <c r="J1479" i="4"/>
  <c r="O1478" i="4"/>
  <c r="J1478" i="4"/>
  <c r="G1465" i="4"/>
  <c r="G1464" i="4"/>
  <c r="E1463" i="4"/>
  <c r="F1463" i="4" s="1"/>
  <c r="O1458" i="4"/>
  <c r="O1459" i="4" s="1"/>
  <c r="P1459" i="4" s="1"/>
  <c r="Q1459" i="4" s="1"/>
  <c r="J1458" i="4"/>
  <c r="G1454" i="4"/>
  <c r="G1453" i="4"/>
  <c r="E1452" i="4"/>
  <c r="O1447" i="4"/>
  <c r="O1448" i="4" s="1"/>
  <c r="P1448" i="4" s="1"/>
  <c r="Q1448" i="4" s="1"/>
  <c r="J1447" i="4"/>
  <c r="L1438" i="4"/>
  <c r="O1438" i="4" s="1"/>
  <c r="J1439" i="4"/>
  <c r="J1440" i="4" s="1"/>
  <c r="G1502" i="4"/>
  <c r="E1501" i="4"/>
  <c r="F1501" i="4" s="1"/>
  <c r="O1500" i="4"/>
  <c r="O1501" i="4" s="1"/>
  <c r="P1501" i="4" s="1"/>
  <c r="Q1501" i="4" s="1"/>
  <c r="J1500" i="4"/>
  <c r="G1496" i="4"/>
  <c r="E1495" i="4"/>
  <c r="F1495" i="4" s="1"/>
  <c r="O1494" i="4"/>
  <c r="O1495" i="4" s="1"/>
  <c r="P1495" i="4" s="1"/>
  <c r="Q1495" i="4" s="1"/>
  <c r="J1494" i="4"/>
  <c r="G1490" i="4"/>
  <c r="O1487" i="4"/>
  <c r="J1487" i="4"/>
  <c r="O1486" i="4"/>
  <c r="O1488" i="4" s="1"/>
  <c r="P1488" i="4" s="1"/>
  <c r="Q1488" i="4" s="1"/>
  <c r="J1486" i="4"/>
  <c r="G1474" i="4"/>
  <c r="G1473" i="4"/>
  <c r="O1470" i="4"/>
  <c r="J1470" i="4"/>
  <c r="O1469" i="4"/>
  <c r="J1469" i="4"/>
  <c r="G1443" i="4"/>
  <c r="L1442" i="4"/>
  <c r="M1442" i="4" s="1"/>
  <c r="J1442" i="4"/>
  <c r="I1442" i="4"/>
  <c r="C1442" i="4"/>
  <c r="O1439" i="4"/>
  <c r="G1434" i="4"/>
  <c r="G1433" i="4"/>
  <c r="G1432" i="4"/>
  <c r="G1425" i="4"/>
  <c r="G1424" i="4"/>
  <c r="C1418" i="4"/>
  <c r="G1418" i="4" s="1"/>
  <c r="G1417" i="4"/>
  <c r="E103" i="3"/>
  <c r="D103" i="3" s="1"/>
  <c r="L487" i="3" l="1"/>
  <c r="O1631" i="4"/>
  <c r="P1631" i="4" s="1"/>
  <c r="Q1631" i="4" s="1"/>
  <c r="G1510" i="4"/>
  <c r="O1614" i="4"/>
  <c r="P1614" i="4" s="1"/>
  <c r="Q1614" i="4" s="1"/>
  <c r="O1480" i="4"/>
  <c r="P1480" i="4" s="1"/>
  <c r="Q1480" i="4" s="1"/>
  <c r="G1667" i="4"/>
  <c r="O1471" i="4"/>
  <c r="P1471" i="4" s="1"/>
  <c r="Q1471" i="4" s="1"/>
  <c r="G1638" i="4"/>
  <c r="G1640" i="4" s="1"/>
  <c r="G1644" i="4"/>
  <c r="G1561" i="4"/>
  <c r="F247" i="8" s="1"/>
  <c r="F1595" i="4"/>
  <c r="G1595" i="4" s="1"/>
  <c r="F1606" i="4"/>
  <c r="G1606" i="4" s="1"/>
  <c r="E1537" i="4"/>
  <c r="G1537" i="4" s="1"/>
  <c r="G1538" i="4" s="1"/>
  <c r="F244" i="8" s="1"/>
  <c r="E1551" i="4"/>
  <c r="G1551" i="4" s="1"/>
  <c r="G1552" i="4" s="1"/>
  <c r="F246" i="8" s="1"/>
  <c r="G1436" i="4"/>
  <c r="F225" i="8" s="1"/>
  <c r="G1495" i="4"/>
  <c r="G1497" i="4" s="1"/>
  <c r="F1452" i="4"/>
  <c r="G1452" i="4" s="1"/>
  <c r="G1463" i="4"/>
  <c r="E1419" i="4"/>
  <c r="G1419" i="4" s="1"/>
  <c r="G1420" i="4" s="1"/>
  <c r="O1440" i="4"/>
  <c r="P1440" i="4" s="1"/>
  <c r="G1501" i="4"/>
  <c r="E1426" i="4"/>
  <c r="G1426" i="4" s="1"/>
  <c r="G1427" i="4" s="1"/>
  <c r="F224" i="8" s="1"/>
  <c r="E1646" i="4" l="1"/>
  <c r="G1646" i="4" s="1"/>
  <c r="G1647" i="4" s="1"/>
  <c r="E1503" i="4"/>
  <c r="G1503" i="4" s="1"/>
  <c r="G1504" i="4" s="1"/>
  <c r="P1441" i="4"/>
  <c r="Q1440" i="4"/>
  <c r="G512" i="4" l="1"/>
  <c r="G511" i="4"/>
  <c r="E529" i="4"/>
  <c r="F529" i="4" s="1"/>
  <c r="G505" i="4"/>
  <c r="G504" i="4"/>
  <c r="G503" i="4"/>
  <c r="C502" i="4"/>
  <c r="G529" i="4" l="1"/>
  <c r="G530" i="4" s="1"/>
  <c r="O1377" i="4"/>
  <c r="P1377" i="4" s="1"/>
  <c r="K1375" i="4"/>
  <c r="E1360" i="4"/>
  <c r="F1360" i="4" s="1"/>
  <c r="B1360" i="4"/>
  <c r="O1361" i="4"/>
  <c r="P1361" i="4" s="1"/>
  <c r="K1360" i="4"/>
  <c r="XFD1337" i="4"/>
  <c r="O1337" i="4"/>
  <c r="P1337" i="4" s="1"/>
  <c r="G1336" i="4"/>
  <c r="F1335" i="4"/>
  <c r="G1335" i="4" s="1"/>
  <c r="F1334" i="4"/>
  <c r="G1334" i="4" s="1"/>
  <c r="F1333" i="4"/>
  <c r="G1333" i="4" s="1"/>
  <c r="F1332" i="4"/>
  <c r="G1332" i="4" s="1"/>
  <c r="F1331" i="4"/>
  <c r="G1331" i="4" s="1"/>
  <c r="K1330" i="4"/>
  <c r="F1330" i="4"/>
  <c r="G1330" i="4" s="1"/>
  <c r="E1105" i="3"/>
  <c r="D1105" i="3" s="1"/>
  <c r="XFD1254" i="4"/>
  <c r="O1254" i="4"/>
  <c r="P1254" i="4" s="1"/>
  <c r="G1253" i="4"/>
  <c r="F1252" i="4"/>
  <c r="F1251" i="4"/>
  <c r="G1251" i="4" s="1"/>
  <c r="F1250" i="4"/>
  <c r="G1250" i="4" s="1"/>
  <c r="F1249" i="4"/>
  <c r="G1249" i="4" s="1"/>
  <c r="F1248" i="4"/>
  <c r="G1248" i="4" s="1"/>
  <c r="K1247" i="4"/>
  <c r="F1247" i="4"/>
  <c r="G1247" i="4" s="1"/>
  <c r="XFD1243" i="4"/>
  <c r="O1243" i="4"/>
  <c r="P1243" i="4" s="1"/>
  <c r="G1242" i="4"/>
  <c r="E1241" i="4"/>
  <c r="F1241" i="4" s="1"/>
  <c r="F1240" i="4"/>
  <c r="G1240" i="4" s="1"/>
  <c r="F1239" i="4"/>
  <c r="G1239" i="4" s="1"/>
  <c r="F1238" i="4"/>
  <c r="G1238" i="4" s="1"/>
  <c r="F1237" i="4"/>
  <c r="G1237" i="4" s="1"/>
  <c r="F1236" i="4"/>
  <c r="G1236" i="4" s="1"/>
  <c r="K1235" i="4"/>
  <c r="F1235" i="4"/>
  <c r="G1235" i="4" s="1"/>
  <c r="F101" i="8" l="1"/>
  <c r="F317" i="8"/>
  <c r="B1376" i="4"/>
  <c r="G1337" i="4"/>
  <c r="B1375" i="4"/>
  <c r="G1360" i="4"/>
  <c r="G1361" i="4" s="1"/>
  <c r="G1252" i="4"/>
  <c r="G1254" i="4" s="1"/>
  <c r="G1241" i="4"/>
  <c r="G1243" i="4" s="1"/>
  <c r="F361" i="8" l="1"/>
  <c r="F206" i="8"/>
  <c r="F199" i="8"/>
  <c r="F354" i="8"/>
  <c r="E1375" i="4"/>
  <c r="G1375" i="4" s="1"/>
  <c r="E1124" i="4" l="1"/>
  <c r="F1124" i="4" s="1"/>
  <c r="B1124" i="4"/>
  <c r="O1125" i="4"/>
  <c r="P1125" i="4" s="1"/>
  <c r="L1124" i="4"/>
  <c r="O1124" i="4" s="1"/>
  <c r="P1124" i="4" s="1"/>
  <c r="Q1124" i="4" s="1"/>
  <c r="J1124" i="4"/>
  <c r="O1123" i="4"/>
  <c r="J1123" i="4"/>
  <c r="B1119" i="4"/>
  <c r="O1120" i="4"/>
  <c r="P1120" i="4" s="1"/>
  <c r="L1119" i="4"/>
  <c r="O1119" i="4" s="1"/>
  <c r="P1119" i="4" s="1"/>
  <c r="Q1119" i="4" s="1"/>
  <c r="J1119" i="4"/>
  <c r="E1119" i="4"/>
  <c r="O1118" i="4"/>
  <c r="J1118" i="4"/>
  <c r="O1111" i="4"/>
  <c r="O1112" i="4" s="1"/>
  <c r="P1112" i="4" s="1"/>
  <c r="Q1112" i="4" s="1"/>
  <c r="J1111" i="4"/>
  <c r="G1100" i="4"/>
  <c r="E1099" i="4"/>
  <c r="F1099" i="4" s="1"/>
  <c r="O1098" i="4"/>
  <c r="O1099" i="4" s="1"/>
  <c r="P1099" i="4" s="1"/>
  <c r="Q1099" i="4" s="1"/>
  <c r="J1098" i="4"/>
  <c r="G1107" i="4"/>
  <c r="E1106" i="4"/>
  <c r="O1105" i="4"/>
  <c r="O1106" i="4" s="1"/>
  <c r="P1106" i="4" s="1"/>
  <c r="Q1106" i="4" s="1"/>
  <c r="J1105" i="4"/>
  <c r="B1094" i="4"/>
  <c r="G1089" i="4"/>
  <c r="G1088" i="4"/>
  <c r="C1086" i="4"/>
  <c r="G1081" i="4"/>
  <c r="O1078" i="4"/>
  <c r="J1078" i="4"/>
  <c r="O1077" i="4"/>
  <c r="J1077" i="4"/>
  <c r="G1064" i="4"/>
  <c r="G1063" i="4"/>
  <c r="O1060" i="4"/>
  <c r="J1060" i="4"/>
  <c r="O1059" i="4"/>
  <c r="O1061" i="4" s="1"/>
  <c r="P1061" i="4" s="1"/>
  <c r="Q1061" i="4" s="1"/>
  <c r="J1059" i="4"/>
  <c r="G1073" i="4"/>
  <c r="G1072" i="4"/>
  <c r="O1069" i="4"/>
  <c r="J1069" i="4"/>
  <c r="O1068" i="4"/>
  <c r="J1068" i="4"/>
  <c r="G1055" i="4"/>
  <c r="O1052" i="4"/>
  <c r="J1052" i="4"/>
  <c r="O1051" i="4"/>
  <c r="J1051" i="4"/>
  <c r="G1036" i="4"/>
  <c r="G1035" i="4"/>
  <c r="E1034" i="4"/>
  <c r="O1029" i="4"/>
  <c r="O1030" i="4" s="1"/>
  <c r="P1030" i="4" s="1"/>
  <c r="Q1030" i="4" s="1"/>
  <c r="J1029" i="4"/>
  <c r="G1047" i="4"/>
  <c r="G1046" i="4"/>
  <c r="E1045" i="4"/>
  <c r="F1045" i="4" s="1"/>
  <c r="O1040" i="4"/>
  <c r="O1041" i="4" s="1"/>
  <c r="P1041" i="4" s="1"/>
  <c r="Q1041" i="4" s="1"/>
  <c r="J1040" i="4"/>
  <c r="C1025" i="4"/>
  <c r="G1025" i="4" s="1"/>
  <c r="L1024" i="4"/>
  <c r="O1024" i="4" s="1"/>
  <c r="P1024" i="4" s="1"/>
  <c r="Q1024" i="4" s="1"/>
  <c r="J1024" i="4"/>
  <c r="O1023" i="4"/>
  <c r="J1023" i="4"/>
  <c r="L1019" i="4"/>
  <c r="O1019" i="4" s="1"/>
  <c r="G1019" i="4"/>
  <c r="C1018" i="4"/>
  <c r="G1018" i="4" s="1"/>
  <c r="J1017" i="4"/>
  <c r="K1018" i="4" s="1"/>
  <c r="O1018" i="4" s="1"/>
  <c r="E1017" i="4"/>
  <c r="F1017" i="4" s="1"/>
  <c r="C1017" i="4"/>
  <c r="L1015" i="4"/>
  <c r="O1015" i="4" s="1"/>
  <c r="P1015" i="4" s="1"/>
  <c r="Q1015" i="4" s="1"/>
  <c r="J1015" i="4"/>
  <c r="O1014" i="4"/>
  <c r="J1014" i="4"/>
  <c r="L996" i="4"/>
  <c r="O996" i="4" s="1"/>
  <c r="J995" i="4"/>
  <c r="K995" i="4" s="1"/>
  <c r="G1001" i="4"/>
  <c r="C1000" i="4"/>
  <c r="J998" i="4"/>
  <c r="O997" i="4"/>
  <c r="J997" i="4"/>
  <c r="G992" i="4"/>
  <c r="G991" i="4"/>
  <c r="G990" i="4"/>
  <c r="G983" i="4"/>
  <c r="G982" i="4"/>
  <c r="C976" i="4"/>
  <c r="G976" i="4" s="1"/>
  <c r="G975" i="4"/>
  <c r="O951" i="4"/>
  <c r="P951" i="4" s="1"/>
  <c r="L950" i="4"/>
  <c r="O950" i="4" s="1"/>
  <c r="P950" i="4" s="1"/>
  <c r="Q950" i="4" s="1"/>
  <c r="J950" i="4"/>
  <c r="E950" i="4"/>
  <c r="B950" i="4"/>
  <c r="O949" i="4"/>
  <c r="J949" i="4"/>
  <c r="G945" i="4"/>
  <c r="G944" i="4"/>
  <c r="G938" i="4"/>
  <c r="O935" i="4"/>
  <c r="J935" i="4"/>
  <c r="O934" i="4"/>
  <c r="O936" i="4" s="1"/>
  <c r="P936" i="4" s="1"/>
  <c r="Q936" i="4" s="1"/>
  <c r="J934" i="4"/>
  <c r="G930" i="4"/>
  <c r="G929" i="4"/>
  <c r="C928" i="4"/>
  <c r="G923" i="4"/>
  <c r="G922" i="4"/>
  <c r="O919" i="4"/>
  <c r="J919" i="4"/>
  <c r="O918" i="4"/>
  <c r="J918" i="4"/>
  <c r="L884" i="4"/>
  <c r="O884" i="4" s="1"/>
  <c r="P884" i="4" s="1"/>
  <c r="Q884" i="4" s="1"/>
  <c r="J884" i="4"/>
  <c r="O883" i="4"/>
  <c r="J883" i="4"/>
  <c r="C903" i="4"/>
  <c r="G878" i="4"/>
  <c r="G877" i="4"/>
  <c r="G876" i="4"/>
  <c r="G869" i="4"/>
  <c r="G868" i="4"/>
  <c r="C862" i="4"/>
  <c r="G862" i="4" s="1"/>
  <c r="G861" i="4"/>
  <c r="E1037" i="3"/>
  <c r="D1037" i="3" s="1"/>
  <c r="E955" i="4" s="1"/>
  <c r="E802" i="4"/>
  <c r="C786" i="4"/>
  <c r="G785" i="4"/>
  <c r="C848" i="4"/>
  <c r="J838" i="4"/>
  <c r="I837" i="4" s="1"/>
  <c r="C838" i="4"/>
  <c r="E837" i="4"/>
  <c r="C837" i="4"/>
  <c r="C835" i="4"/>
  <c r="J848" i="4"/>
  <c r="I847" i="4" s="1"/>
  <c r="J818" i="4"/>
  <c r="I817" i="4" s="1"/>
  <c r="C818" i="4"/>
  <c r="E817" i="4"/>
  <c r="C817" i="4"/>
  <c r="C815" i="4"/>
  <c r="G809" i="4"/>
  <c r="G762" i="4"/>
  <c r="F760" i="4"/>
  <c r="G760" i="4" s="1"/>
  <c r="E732" i="4"/>
  <c r="O1053" i="4" l="1"/>
  <c r="P1053" i="4" s="1"/>
  <c r="Q1053" i="4" s="1"/>
  <c r="O1079" i="4"/>
  <c r="P1079" i="4" s="1"/>
  <c r="Q1079" i="4" s="1"/>
  <c r="O1070" i="4"/>
  <c r="P1070" i="4" s="1"/>
  <c r="Q1070" i="4" s="1"/>
  <c r="O920" i="4"/>
  <c r="P920" i="4" s="1"/>
  <c r="Q920" i="4" s="1"/>
  <c r="G1124" i="4"/>
  <c r="G1125" i="4" s="1"/>
  <c r="F180" i="8" s="1"/>
  <c r="O1020" i="4"/>
  <c r="P1020" i="4" s="1"/>
  <c r="F1106" i="4"/>
  <c r="G1106" i="4" s="1"/>
  <c r="G1108" i="4" s="1"/>
  <c r="F1119" i="4"/>
  <c r="G1119" i="4" s="1"/>
  <c r="G1120" i="4" s="1"/>
  <c r="F179" i="8" s="1"/>
  <c r="G1099" i="4"/>
  <c r="O1016" i="4"/>
  <c r="P1016" i="4" s="1"/>
  <c r="G880" i="4"/>
  <c r="F146" i="8" s="1"/>
  <c r="G994" i="4"/>
  <c r="F163" i="8" s="1"/>
  <c r="G1017" i="4"/>
  <c r="G1045" i="4"/>
  <c r="F1034" i="4"/>
  <c r="G1034" i="4" s="1"/>
  <c r="J1019" i="4"/>
  <c r="O998" i="4"/>
  <c r="P998" i="4" s="1"/>
  <c r="Q998" i="4" s="1"/>
  <c r="E977" i="4"/>
  <c r="G977" i="4" s="1"/>
  <c r="G978" i="4" s="1"/>
  <c r="F161" i="8" s="1"/>
  <c r="E984" i="4"/>
  <c r="G984" i="4" s="1"/>
  <c r="G985" i="4" s="1"/>
  <c r="F162" i="8" s="1"/>
  <c r="F950" i="4"/>
  <c r="G950" i="4" s="1"/>
  <c r="G951" i="4" s="1"/>
  <c r="O885" i="4"/>
  <c r="P885" i="4" s="1"/>
  <c r="G885" i="4"/>
  <c r="O886" i="4"/>
  <c r="P886" i="4" s="1"/>
  <c r="E870" i="4"/>
  <c r="G870" i="4" s="1"/>
  <c r="G871" i="4" s="1"/>
  <c r="F145" i="8" s="1"/>
  <c r="E863" i="4"/>
  <c r="G863" i="4" s="1"/>
  <c r="G864" i="4" s="1"/>
  <c r="F802" i="4"/>
  <c r="G802" i="4" s="1"/>
  <c r="G817" i="4"/>
  <c r="G837" i="4"/>
  <c r="G740" i="4" l="1"/>
  <c r="E1101" i="4"/>
  <c r="G1101" i="4" s="1"/>
  <c r="G1102" i="4" s="1"/>
  <c r="F732" i="4" l="1"/>
  <c r="G732" i="4" s="1"/>
  <c r="O728" i="4"/>
  <c r="O729" i="4" s="1"/>
  <c r="P729" i="4" s="1"/>
  <c r="Q729" i="4" s="1"/>
  <c r="G750" i="4"/>
  <c r="G749" i="4"/>
  <c r="F748" i="4"/>
  <c r="G748" i="4" s="1"/>
  <c r="F747" i="4"/>
  <c r="F746" i="4"/>
  <c r="G746" i="4" s="1"/>
  <c r="F745" i="4"/>
  <c r="G745" i="4" s="1"/>
  <c r="O744" i="4"/>
  <c r="O745" i="4" s="1"/>
  <c r="P745" i="4" s="1"/>
  <c r="Q745" i="4" s="1"/>
  <c r="E722" i="4"/>
  <c r="F722" i="4" s="1"/>
  <c r="G722" i="4" s="1"/>
  <c r="E719" i="4"/>
  <c r="F719" i="4" s="1"/>
  <c r="G719" i="4" s="1"/>
  <c r="E720" i="4"/>
  <c r="F720" i="4" s="1"/>
  <c r="G720" i="4" s="1"/>
  <c r="E721" i="4"/>
  <c r="F721" i="4" s="1"/>
  <c r="G721" i="4" s="1"/>
  <c r="G723" i="4"/>
  <c r="O718" i="4"/>
  <c r="O719" i="4" s="1"/>
  <c r="P719" i="4" s="1"/>
  <c r="Q719" i="4" s="1"/>
  <c r="F660" i="4"/>
  <c r="F661" i="4"/>
  <c r="F662" i="4"/>
  <c r="F664" i="4"/>
  <c r="F665" i="4"/>
  <c r="F666" i="4"/>
  <c r="F667" i="4"/>
  <c r="F668" i="4"/>
  <c r="F659" i="4"/>
  <c r="G651" i="4"/>
  <c r="O649" i="4"/>
  <c r="O650" i="4" s="1"/>
  <c r="P650" i="4" s="1"/>
  <c r="Q650" i="4" s="1"/>
  <c r="J649" i="4"/>
  <c r="B580" i="4"/>
  <c r="H581" i="4"/>
  <c r="K577" i="4"/>
  <c r="K579" i="4" s="1"/>
  <c r="G562" i="4"/>
  <c r="F560" i="4"/>
  <c r="G560" i="4" s="1"/>
  <c r="F559" i="4"/>
  <c r="G559" i="4" s="1"/>
  <c r="K556" i="4"/>
  <c r="K558" i="4" s="1"/>
  <c r="G553" i="4"/>
  <c r="F551" i="4"/>
  <c r="G551" i="4" s="1"/>
  <c r="F550" i="4"/>
  <c r="G550" i="4" s="1"/>
  <c r="K547" i="4"/>
  <c r="K549" i="4" s="1"/>
  <c r="G544" i="4"/>
  <c r="F542" i="4"/>
  <c r="G542" i="4" s="1"/>
  <c r="G630" i="4"/>
  <c r="F628" i="4"/>
  <c r="G628" i="4" s="1"/>
  <c r="G625" i="4"/>
  <c r="O621" i="4"/>
  <c r="O622" i="4" s="1"/>
  <c r="P622" i="4" s="1"/>
  <c r="Q622" i="4" s="1"/>
  <c r="F493" i="4"/>
  <c r="G378" i="4"/>
  <c r="O375" i="4"/>
  <c r="J375" i="4"/>
  <c r="O374" i="4"/>
  <c r="J374" i="4"/>
  <c r="G345" i="4"/>
  <c r="G344" i="4"/>
  <c r="O341" i="4"/>
  <c r="J341" i="4"/>
  <c r="O340" i="4"/>
  <c r="J340" i="4"/>
  <c r="G354" i="4"/>
  <c r="G353" i="4"/>
  <c r="O350" i="4"/>
  <c r="J350" i="4"/>
  <c r="O349" i="4"/>
  <c r="J349" i="4"/>
  <c r="C518" i="4"/>
  <c r="E312" i="4"/>
  <c r="F312" i="4" s="1"/>
  <c r="O342" i="4" l="1"/>
  <c r="P342" i="4" s="1"/>
  <c r="Q342" i="4" s="1"/>
  <c r="O351" i="4"/>
  <c r="P351" i="4" s="1"/>
  <c r="Q351" i="4" s="1"/>
  <c r="O376" i="4"/>
  <c r="P376" i="4" s="1"/>
  <c r="Q376" i="4" s="1"/>
  <c r="G747" i="4"/>
  <c r="G751" i="4" s="1"/>
  <c r="G725" i="4"/>
  <c r="G650" i="4"/>
  <c r="E652" i="4" s="1"/>
  <c r="E561" i="4"/>
  <c r="G561" i="4" s="1"/>
  <c r="G564" i="4" s="1"/>
  <c r="E552" i="4"/>
  <c r="G552" i="4" s="1"/>
  <c r="G555" i="4" s="1"/>
  <c r="F130" i="8" l="1"/>
  <c r="F349" i="8"/>
  <c r="F322" i="8"/>
  <c r="F106" i="8"/>
  <c r="F107" i="8"/>
  <c r="F323" i="8"/>
  <c r="F127" i="8"/>
  <c r="F346" i="8"/>
  <c r="G652" i="4"/>
  <c r="G653" i="4" s="1"/>
  <c r="F121" i="8" l="1"/>
  <c r="F340" i="8"/>
  <c r="E279" i="4" l="1"/>
  <c r="F279" i="4" s="1"/>
  <c r="C267" i="4"/>
  <c r="C142" i="4"/>
  <c r="G80" i="4"/>
  <c r="G79" i="4"/>
  <c r="G73" i="4"/>
  <c r="G72" i="4"/>
  <c r="G66" i="4"/>
  <c r="G65" i="4"/>
  <c r="G104" i="4"/>
  <c r="G103" i="4"/>
  <c r="G102" i="4"/>
  <c r="C270" i="4" l="1"/>
  <c r="E81" i="4"/>
  <c r="G81" i="4" s="1"/>
  <c r="G82" i="4" s="1"/>
  <c r="F35" i="8" s="1"/>
  <c r="E74" i="4"/>
  <c r="G74" i="4" s="1"/>
  <c r="G75" i="4" s="1"/>
  <c r="E67" i="4"/>
  <c r="G67" i="4" s="1"/>
  <c r="G68" i="4" s="1"/>
  <c r="F33" i="8" s="1"/>
  <c r="G106" i="4"/>
  <c r="F34" i="8" l="1"/>
  <c r="F37" i="8"/>
  <c r="E755" i="4"/>
  <c r="E761" i="4"/>
  <c r="G826" i="4" l="1"/>
  <c r="G846" i="4"/>
  <c r="G836" i="4"/>
  <c r="G816" i="4"/>
  <c r="G761" i="4"/>
  <c r="E772" i="4"/>
  <c r="G755" i="4"/>
  <c r="E767" i="4"/>
  <c r="E815" i="4" s="1"/>
  <c r="H36" i="4"/>
  <c r="G34" i="4"/>
  <c r="G36" i="4" s="1"/>
  <c r="F26" i="8" s="1"/>
  <c r="E825" i="4" l="1"/>
  <c r="G825" i="4" s="1"/>
  <c r="E845" i="4"/>
  <c r="G845" i="4" s="1"/>
  <c r="E796" i="4"/>
  <c r="G796" i="4" s="1"/>
  <c r="E835" i="4"/>
  <c r="G835" i="4" s="1"/>
  <c r="G815" i="4"/>
  <c r="E791" i="4"/>
  <c r="E47" i="4"/>
  <c r="F47" i="4" s="1"/>
  <c r="G47" i="4" s="1"/>
  <c r="G49" i="4" s="1"/>
  <c r="F28" i="8" s="1"/>
  <c r="L1514" i="4"/>
  <c r="O1514" i="4" s="1"/>
  <c r="P1514" i="4" s="1"/>
  <c r="Q1514" i="4" s="1"/>
  <c r="J1514" i="4"/>
  <c r="E1514" i="4"/>
  <c r="F1514" i="4" s="1"/>
  <c r="B1514" i="4"/>
  <c r="O1513" i="4"/>
  <c r="J1513" i="4"/>
  <c r="G1742" i="4"/>
  <c r="G1741" i="4"/>
  <c r="C1740" i="4"/>
  <c r="J1738" i="4"/>
  <c r="L1737" i="4"/>
  <c r="O1737" i="4" s="1"/>
  <c r="O1738" i="4" s="1"/>
  <c r="P1738" i="4" s="1"/>
  <c r="Q1738" i="4" s="1"/>
  <c r="J1737" i="4"/>
  <c r="G1568" i="4"/>
  <c r="C1567" i="4"/>
  <c r="J1565" i="4"/>
  <c r="O1564" i="4"/>
  <c r="O1565" i="4" s="1"/>
  <c r="P1565" i="4" s="1"/>
  <c r="Q1565" i="4" s="1"/>
  <c r="J1564" i="4"/>
  <c r="K1525" i="4"/>
  <c r="O1370" i="4"/>
  <c r="P1370" i="4" s="1"/>
  <c r="K1365" i="4"/>
  <c r="O1356" i="4"/>
  <c r="P1356" i="4" s="1"/>
  <c r="F1355" i="4"/>
  <c r="G1355" i="4" s="1"/>
  <c r="F1354" i="4"/>
  <c r="G1354" i="4" s="1"/>
  <c r="F1353" i="4"/>
  <c r="G1353" i="4" s="1"/>
  <c r="K1352" i="4"/>
  <c r="F1352" i="4"/>
  <c r="G1352" i="4" s="1"/>
  <c r="O1326" i="4"/>
  <c r="P1326" i="4" s="1"/>
  <c r="G1325" i="4"/>
  <c r="F1324" i="4"/>
  <c r="G1324" i="4" s="1"/>
  <c r="F1323" i="4"/>
  <c r="G1323" i="4" s="1"/>
  <c r="F1322" i="4"/>
  <c r="G1322" i="4" s="1"/>
  <c r="F1321" i="4"/>
  <c r="G1321" i="4" s="1"/>
  <c r="F1320" i="4"/>
  <c r="G1320" i="4" s="1"/>
  <c r="K1319" i="4"/>
  <c r="F1319" i="4"/>
  <c r="G1319" i="4" s="1"/>
  <c r="O1315" i="4"/>
  <c r="P1315" i="4" s="1"/>
  <c r="G1314" i="4"/>
  <c r="F1313" i="4"/>
  <c r="G1313" i="4" s="1"/>
  <c r="F1312" i="4"/>
  <c r="G1312" i="4" s="1"/>
  <c r="F1311" i="4"/>
  <c r="G1311" i="4" s="1"/>
  <c r="F1310" i="4"/>
  <c r="G1310" i="4" s="1"/>
  <c r="F1309" i="4"/>
  <c r="G1309" i="4" s="1"/>
  <c r="F1308" i="4"/>
  <c r="G1308" i="4" s="1"/>
  <c r="K1307" i="4"/>
  <c r="F1307" i="4"/>
  <c r="G1307" i="4" s="1"/>
  <c r="O1278" i="4"/>
  <c r="P1278" i="4" s="1"/>
  <c r="G1277" i="4"/>
  <c r="F1276" i="4"/>
  <c r="G1276" i="4" s="1"/>
  <c r="F1275" i="4"/>
  <c r="G1275" i="4" s="1"/>
  <c r="F1274" i="4"/>
  <c r="G1274" i="4" s="1"/>
  <c r="F1273" i="4"/>
  <c r="G1273" i="4" s="1"/>
  <c r="F1272" i="4"/>
  <c r="G1272" i="4" s="1"/>
  <c r="F1271" i="4"/>
  <c r="G1271" i="4" s="1"/>
  <c r="K1270" i="4"/>
  <c r="F1270" i="4"/>
  <c r="G1270" i="4" s="1"/>
  <c r="O1290" i="4"/>
  <c r="P1290" i="4" s="1"/>
  <c r="G1289" i="4"/>
  <c r="F1288" i="4"/>
  <c r="G1288" i="4" s="1"/>
  <c r="F1287" i="4"/>
  <c r="G1287" i="4" s="1"/>
  <c r="F1286" i="4"/>
  <c r="G1286" i="4" s="1"/>
  <c r="F1285" i="4"/>
  <c r="G1285" i="4" s="1"/>
  <c r="F1284" i="4"/>
  <c r="G1284" i="4" s="1"/>
  <c r="F1283" i="4"/>
  <c r="G1283" i="4" s="1"/>
  <c r="K1282" i="4"/>
  <c r="F1282" i="4"/>
  <c r="G1282" i="4" s="1"/>
  <c r="XFD1231" i="4"/>
  <c r="XFD1290" i="4" s="1"/>
  <c r="XFD1278" i="4" s="1"/>
  <c r="XFD1315" i="4" s="1"/>
  <c r="O1231" i="4"/>
  <c r="P1231" i="4" s="1"/>
  <c r="G1230" i="4"/>
  <c r="E1229" i="4"/>
  <c r="F1229" i="4" s="1"/>
  <c r="F1228" i="4"/>
  <c r="G1228" i="4" s="1"/>
  <c r="F1227" i="4"/>
  <c r="G1227" i="4" s="1"/>
  <c r="F1226" i="4"/>
  <c r="G1226" i="4" s="1"/>
  <c r="F1225" i="4"/>
  <c r="G1225" i="4" s="1"/>
  <c r="F1224" i="4"/>
  <c r="G1224" i="4" s="1"/>
  <c r="K1223" i="4"/>
  <c r="F1223" i="4"/>
  <c r="G1223" i="4" s="1"/>
  <c r="G914" i="4"/>
  <c r="L912" i="4"/>
  <c r="O912" i="4" s="1"/>
  <c r="F911" i="4"/>
  <c r="G911" i="4" s="1"/>
  <c r="J910" i="4"/>
  <c r="K911" i="4" s="1"/>
  <c r="O911" i="4" s="1"/>
  <c r="L908" i="4"/>
  <c r="O908" i="4" s="1"/>
  <c r="P908" i="4" s="1"/>
  <c r="Q908" i="4" s="1"/>
  <c r="J908" i="4"/>
  <c r="F908" i="4"/>
  <c r="G908" i="4" s="1"/>
  <c r="O907" i="4"/>
  <c r="J907" i="4"/>
  <c r="L903" i="4"/>
  <c r="O903" i="4" s="1"/>
  <c r="G903" i="4"/>
  <c r="C902" i="4"/>
  <c r="G902" i="4" s="1"/>
  <c r="J901" i="4"/>
  <c r="K902" i="4" s="1"/>
  <c r="O902" i="4" s="1"/>
  <c r="C901" i="4"/>
  <c r="L899" i="4"/>
  <c r="O899" i="4" s="1"/>
  <c r="P899" i="4" s="1"/>
  <c r="Q899" i="4" s="1"/>
  <c r="J899" i="4"/>
  <c r="O898" i="4"/>
  <c r="J898" i="4"/>
  <c r="L894" i="4"/>
  <c r="O894" i="4" s="1"/>
  <c r="G894" i="4"/>
  <c r="C893" i="4"/>
  <c r="G893" i="4" s="1"/>
  <c r="J892" i="4"/>
  <c r="K893" i="4" s="1"/>
  <c r="J894" i="4" s="1"/>
  <c r="C892" i="4"/>
  <c r="L890" i="4"/>
  <c r="O890" i="4" s="1"/>
  <c r="P890" i="4" s="1"/>
  <c r="Q890" i="4" s="1"/>
  <c r="J890" i="4"/>
  <c r="O889" i="4"/>
  <c r="J889" i="4"/>
  <c r="B801" i="4"/>
  <c r="F955" i="4"/>
  <c r="B955" i="4"/>
  <c r="B966" i="4" s="1"/>
  <c r="C795" i="4"/>
  <c r="F793" i="4"/>
  <c r="F792" i="4"/>
  <c r="G773" i="4"/>
  <c r="G772" i="4"/>
  <c r="G767" i="4"/>
  <c r="G713" i="4"/>
  <c r="G712" i="4"/>
  <c r="G711" i="4"/>
  <c r="G710" i="4"/>
  <c r="G709" i="4"/>
  <c r="G708" i="4"/>
  <c r="G707" i="4"/>
  <c r="G706" i="4"/>
  <c r="G705" i="4"/>
  <c r="G704" i="4"/>
  <c r="G703" i="4"/>
  <c r="E702" i="4"/>
  <c r="G702" i="4" s="1"/>
  <c r="G700" i="4"/>
  <c r="G699" i="4"/>
  <c r="G698" i="4"/>
  <c r="G697" i="4"/>
  <c r="O696" i="4"/>
  <c r="O697" i="4" s="1"/>
  <c r="P697" i="4" s="1"/>
  <c r="Q697" i="4" s="1"/>
  <c r="G691" i="4"/>
  <c r="G690" i="4"/>
  <c r="G689" i="4"/>
  <c r="G688" i="4"/>
  <c r="G687" i="4"/>
  <c r="G686" i="4"/>
  <c r="G685" i="4"/>
  <c r="G684" i="4"/>
  <c r="G683" i="4"/>
  <c r="E682" i="4"/>
  <c r="F682" i="4" s="1"/>
  <c r="E681" i="4"/>
  <c r="G680" i="4"/>
  <c r="G679" i="4"/>
  <c r="G678" i="4"/>
  <c r="G677" i="4"/>
  <c r="O676" i="4"/>
  <c r="O677" i="4" s="1"/>
  <c r="P677" i="4" s="1"/>
  <c r="Q677" i="4" s="1"/>
  <c r="G671" i="4"/>
  <c r="G670" i="4"/>
  <c r="G669" i="4"/>
  <c r="G668" i="4"/>
  <c r="G667" i="4"/>
  <c r="G666" i="4"/>
  <c r="G665" i="4"/>
  <c r="G664" i="4"/>
  <c r="E663" i="4"/>
  <c r="F663" i="4" s="1"/>
  <c r="G662" i="4"/>
  <c r="G661" i="4"/>
  <c r="G660" i="4"/>
  <c r="G659" i="4"/>
  <c r="O658" i="4"/>
  <c r="O659" i="4" s="1"/>
  <c r="P659" i="4" s="1"/>
  <c r="Q659" i="4" s="1"/>
  <c r="H596" i="4"/>
  <c r="B595" i="4"/>
  <c r="K592" i="4"/>
  <c r="K594" i="4" s="1"/>
  <c r="K602" i="4"/>
  <c r="M574" i="4"/>
  <c r="H574" i="4"/>
  <c r="F573" i="4"/>
  <c r="B573" i="4"/>
  <c r="K570" i="4"/>
  <c r="K572" i="4" s="1"/>
  <c r="F541" i="4"/>
  <c r="K538" i="4"/>
  <c r="K540" i="4" s="1"/>
  <c r="F536" i="4"/>
  <c r="K534" i="4"/>
  <c r="K533" i="4"/>
  <c r="G386" i="4"/>
  <c r="G385" i="4"/>
  <c r="G384" i="4"/>
  <c r="F383" i="4"/>
  <c r="G383" i="4" s="1"/>
  <c r="O382" i="4"/>
  <c r="O383" i="4" s="1"/>
  <c r="P383" i="4" s="1"/>
  <c r="Q383" i="4" s="1"/>
  <c r="J382" i="4"/>
  <c r="E617" i="4"/>
  <c r="F617" i="4" s="1"/>
  <c r="O616" i="4"/>
  <c r="O617" i="4" s="1"/>
  <c r="P617" i="4" s="1"/>
  <c r="Q617" i="4" s="1"/>
  <c r="J616" i="4"/>
  <c r="E612" i="4"/>
  <c r="F612" i="4" s="1"/>
  <c r="O611" i="4"/>
  <c r="O612" i="4" s="1"/>
  <c r="P612" i="4" s="1"/>
  <c r="Q612" i="4" s="1"/>
  <c r="J611" i="4"/>
  <c r="O606" i="4"/>
  <c r="O607" i="4" s="1"/>
  <c r="P607" i="4" s="1"/>
  <c r="Q607" i="4" s="1"/>
  <c r="J606" i="4"/>
  <c r="G495" i="4"/>
  <c r="G493" i="4"/>
  <c r="G490" i="4"/>
  <c r="O486" i="4"/>
  <c r="O487" i="4" s="1"/>
  <c r="P487" i="4" s="1"/>
  <c r="Q487" i="4" s="1"/>
  <c r="G412" i="4"/>
  <c r="G411" i="4"/>
  <c r="L408" i="4"/>
  <c r="O408" i="4" s="1"/>
  <c r="P408" i="4" s="1"/>
  <c r="Q408" i="4" s="1"/>
  <c r="J408" i="4"/>
  <c r="O407" i="4"/>
  <c r="J407" i="4"/>
  <c r="G456" i="4"/>
  <c r="G454" i="4"/>
  <c r="O449" i="4"/>
  <c r="O450" i="4" s="1"/>
  <c r="P450" i="4" s="1"/>
  <c r="Q450" i="4" s="1"/>
  <c r="J449" i="4"/>
  <c r="G423" i="4"/>
  <c r="G421" i="4"/>
  <c r="O416" i="4"/>
  <c r="O417" i="4" s="1"/>
  <c r="P417" i="4" s="1"/>
  <c r="Q417" i="4" s="1"/>
  <c r="J416" i="4"/>
  <c r="G644" i="4"/>
  <c r="F643" i="4"/>
  <c r="O642" i="4"/>
  <c r="O643" i="4" s="1"/>
  <c r="P643" i="4" s="1"/>
  <c r="Q643" i="4" s="1"/>
  <c r="J642" i="4"/>
  <c r="G638" i="4"/>
  <c r="F637" i="4"/>
  <c r="O636" i="4"/>
  <c r="O637" i="4" s="1"/>
  <c r="P637" i="4" s="1"/>
  <c r="Q637" i="4" s="1"/>
  <c r="J636" i="4"/>
  <c r="G370" i="4"/>
  <c r="O367" i="4"/>
  <c r="J367" i="4"/>
  <c r="O366" i="4"/>
  <c r="J366" i="4"/>
  <c r="G336" i="4"/>
  <c r="G335" i="4"/>
  <c r="O332" i="4"/>
  <c r="J332" i="4"/>
  <c r="O331" i="4"/>
  <c r="J331" i="4"/>
  <c r="G362" i="4"/>
  <c r="O359" i="4"/>
  <c r="J359" i="4"/>
  <c r="O358" i="4"/>
  <c r="O360" i="4" s="1"/>
  <c r="P360" i="4" s="1"/>
  <c r="Q360" i="4" s="1"/>
  <c r="J358" i="4"/>
  <c r="O516" i="4"/>
  <c r="O517" i="4" s="1"/>
  <c r="P517" i="4" s="1"/>
  <c r="Q517" i="4" s="1"/>
  <c r="J516" i="4"/>
  <c r="G314" i="4"/>
  <c r="G313" i="4"/>
  <c r="G312" i="4"/>
  <c r="O307" i="4"/>
  <c r="O308" i="4" s="1"/>
  <c r="P308" i="4" s="1"/>
  <c r="Q308" i="4" s="1"/>
  <c r="J307" i="4"/>
  <c r="O296" i="4"/>
  <c r="O297" i="4" s="1"/>
  <c r="P297" i="4" s="1"/>
  <c r="Q297" i="4" s="1"/>
  <c r="J296" i="4"/>
  <c r="L281" i="4"/>
  <c r="O281" i="4" s="1"/>
  <c r="G281" i="4"/>
  <c r="C280" i="4"/>
  <c r="G280" i="4" s="1"/>
  <c r="J279" i="4"/>
  <c r="K280" i="4" s="1"/>
  <c r="J281" i="4" s="1"/>
  <c r="C279" i="4"/>
  <c r="L277" i="4"/>
  <c r="O277" i="4" s="1"/>
  <c r="P277" i="4" s="1"/>
  <c r="Q277" i="4" s="1"/>
  <c r="J277" i="4"/>
  <c r="O276" i="4"/>
  <c r="J276" i="4"/>
  <c r="L272" i="4"/>
  <c r="O272" i="4" s="1"/>
  <c r="G272" i="4"/>
  <c r="G271" i="4"/>
  <c r="J270" i="4"/>
  <c r="K271" i="4" s="1"/>
  <c r="E270" i="4"/>
  <c r="F270" i="4" s="1"/>
  <c r="O267" i="4"/>
  <c r="P267" i="4" s="1"/>
  <c r="Q267" i="4" s="1"/>
  <c r="J267" i="4"/>
  <c r="J266" i="4"/>
  <c r="G155" i="4"/>
  <c r="G154" i="4"/>
  <c r="O149" i="4"/>
  <c r="O148" i="4"/>
  <c r="P148" i="4" s="1"/>
  <c r="O147" i="4"/>
  <c r="P147" i="4" s="1"/>
  <c r="J148" i="4"/>
  <c r="G144" i="4"/>
  <c r="G143" i="4"/>
  <c r="O139" i="4"/>
  <c r="P139" i="4" s="1"/>
  <c r="O138" i="4"/>
  <c r="P138" i="4" s="1"/>
  <c r="O137" i="4"/>
  <c r="P137" i="4" s="1"/>
  <c r="J138" i="4"/>
  <c r="G262" i="4"/>
  <c r="G261" i="4"/>
  <c r="C260" i="4"/>
  <c r="L258" i="4"/>
  <c r="O258" i="4" s="1"/>
  <c r="P258" i="4" s="1"/>
  <c r="J258" i="4"/>
  <c r="O257" i="4"/>
  <c r="J256" i="4"/>
  <c r="J257" i="4" s="1"/>
  <c r="K255" i="4"/>
  <c r="C123" i="4"/>
  <c r="G123" i="4" s="1"/>
  <c r="K122" i="4"/>
  <c r="J122" i="4"/>
  <c r="C122" i="4"/>
  <c r="O118" i="4"/>
  <c r="P118" i="4" s="1"/>
  <c r="G95" i="4"/>
  <c r="G94" i="4"/>
  <c r="G93" i="4"/>
  <c r="G92" i="4"/>
  <c r="G91" i="4"/>
  <c r="G90" i="4"/>
  <c r="G89" i="4"/>
  <c r="G88" i="4"/>
  <c r="G87" i="4"/>
  <c r="G86" i="4"/>
  <c r="G61" i="4"/>
  <c r="F32" i="8" s="1"/>
  <c r="F19" i="4"/>
  <c r="G19" i="4" s="1"/>
  <c r="F27" i="4"/>
  <c r="H49" i="4"/>
  <c r="H15" i="4"/>
  <c r="G13" i="4"/>
  <c r="G15" i="4" s="1"/>
  <c r="F23" i="8" s="1"/>
  <c r="H9" i="4"/>
  <c r="G7" i="4"/>
  <c r="G9" i="4" s="1"/>
  <c r="E62" i="2"/>
  <c r="F62" i="2" s="1"/>
  <c r="E61" i="2"/>
  <c r="E52" i="2"/>
  <c r="F52" i="2" s="1"/>
  <c r="E51" i="2"/>
  <c r="E40" i="2"/>
  <c r="F40" i="2" s="1"/>
  <c r="E39" i="2"/>
  <c r="E30" i="2"/>
  <c r="F30" i="2" s="1"/>
  <c r="E29" i="2"/>
  <c r="E28" i="2"/>
  <c r="E19" i="2"/>
  <c r="F19" i="2" s="1"/>
  <c r="E18" i="2"/>
  <c r="E17" i="2"/>
  <c r="E8" i="2"/>
  <c r="F8" i="2" s="1"/>
  <c r="E7" i="2"/>
  <c r="E6" i="2"/>
  <c r="E1426" i="3"/>
  <c r="E1425" i="3"/>
  <c r="E1424" i="3"/>
  <c r="E1423" i="3"/>
  <c r="E1422" i="3"/>
  <c r="E1421" i="3"/>
  <c r="E1420" i="3"/>
  <c r="E1419" i="3"/>
  <c r="E1418" i="3"/>
  <c r="D1418" i="3" s="1"/>
  <c r="E1828" i="4" s="1"/>
  <c r="F1828" i="4" s="1"/>
  <c r="G1828" i="4" s="1"/>
  <c r="G1829" i="4" s="1"/>
  <c r="E1417" i="3"/>
  <c r="E1416" i="3"/>
  <c r="E1415" i="3"/>
  <c r="E1414" i="3"/>
  <c r="E1413" i="3"/>
  <c r="E1412" i="3"/>
  <c r="E1411" i="3"/>
  <c r="E1410" i="3"/>
  <c r="E1409" i="3"/>
  <c r="E1408" i="3"/>
  <c r="E1407" i="3"/>
  <c r="E1404" i="3"/>
  <c r="E1403" i="3"/>
  <c r="E1402" i="3"/>
  <c r="E1401" i="3"/>
  <c r="E1400" i="3"/>
  <c r="E1397" i="3"/>
  <c r="E1396" i="3"/>
  <c r="E1395" i="3"/>
  <c r="E1394" i="3"/>
  <c r="E1391" i="3"/>
  <c r="E1388" i="3"/>
  <c r="E1387" i="3"/>
  <c r="E1386" i="3"/>
  <c r="E1385" i="3"/>
  <c r="D1385" i="3" s="1"/>
  <c r="E1384" i="3"/>
  <c r="E1383" i="3"/>
  <c r="E1380" i="3"/>
  <c r="E1379" i="3"/>
  <c r="E1378" i="3"/>
  <c r="D1378" i="3" s="1"/>
  <c r="E1377" i="3"/>
  <c r="D1377" i="3" s="1"/>
  <c r="E1388" i="4" s="1"/>
  <c r="F1388" i="4" s="1"/>
  <c r="G1388" i="4" s="1"/>
  <c r="G1389" i="4" s="1"/>
  <c r="E1376" i="3"/>
  <c r="D1376" i="3" s="1"/>
  <c r="E607" i="4" s="1"/>
  <c r="E1375" i="3"/>
  <c r="E1374" i="3"/>
  <c r="E1373" i="3"/>
  <c r="E1372" i="3"/>
  <c r="E1371" i="3"/>
  <c r="E1370" i="3"/>
  <c r="E1367" i="3"/>
  <c r="E1366" i="3"/>
  <c r="E1365" i="3"/>
  <c r="E1364" i="3"/>
  <c r="E1363" i="3"/>
  <c r="E1362" i="3"/>
  <c r="E1359" i="3"/>
  <c r="E1358" i="3"/>
  <c r="E1357" i="3"/>
  <c r="E1356" i="3"/>
  <c r="D1356" i="3" s="1"/>
  <c r="E1355" i="3"/>
  <c r="D1355" i="3" s="1"/>
  <c r="E1354" i="3"/>
  <c r="D1354" i="3" s="1"/>
  <c r="E595" i="4" s="1"/>
  <c r="F595" i="4" s="1"/>
  <c r="E1351" i="3"/>
  <c r="E1350" i="3"/>
  <c r="E1349" i="3"/>
  <c r="E1346" i="3"/>
  <c r="E1345" i="3"/>
  <c r="E1344" i="3"/>
  <c r="E1341" i="3"/>
  <c r="E1340" i="3"/>
  <c r="E1339" i="3"/>
  <c r="E1338" i="3"/>
  <c r="E1337" i="3"/>
  <c r="E1336" i="3"/>
  <c r="E1335" i="3"/>
  <c r="E1334" i="3"/>
  <c r="E1333" i="3"/>
  <c r="E1332" i="3"/>
  <c r="E1331" i="3"/>
  <c r="E1330" i="3"/>
  <c r="E1329" i="3"/>
  <c r="E1328" i="3"/>
  <c r="E1327" i="3"/>
  <c r="E1326" i="3"/>
  <c r="E1325" i="3"/>
  <c r="E1324" i="3"/>
  <c r="E1323" i="3"/>
  <c r="E1322" i="3"/>
  <c r="E1321" i="3"/>
  <c r="E1320" i="3"/>
  <c r="E1319" i="3"/>
  <c r="E1318" i="3"/>
  <c r="E1317" i="3"/>
  <c r="E1316" i="3"/>
  <c r="E1313" i="3"/>
  <c r="E1312" i="3"/>
  <c r="E1311" i="3"/>
  <c r="E1310" i="3"/>
  <c r="E1309" i="3"/>
  <c r="E1308" i="3"/>
  <c r="E1307" i="3"/>
  <c r="E1306" i="3"/>
  <c r="E1303" i="3"/>
  <c r="D1303" i="3" s="1"/>
  <c r="E1302" i="3"/>
  <c r="D1302" i="3" s="1"/>
  <c r="E1301" i="3"/>
  <c r="D1301" i="3" s="1"/>
  <c r="E1300" i="3"/>
  <c r="D1300" i="3" s="1"/>
  <c r="E1299" i="3"/>
  <c r="D1299" i="3" s="1"/>
  <c r="E1298" i="3"/>
  <c r="D1298" i="3" s="1"/>
  <c r="E1297" i="3"/>
  <c r="E1296" i="3"/>
  <c r="E1295" i="3"/>
  <c r="E1294" i="3"/>
  <c r="E1293" i="3"/>
  <c r="E1292" i="3"/>
  <c r="E1291" i="3"/>
  <c r="E1290" i="3"/>
  <c r="E1289" i="3"/>
  <c r="E1288" i="3"/>
  <c r="E1287" i="3"/>
  <c r="D1287" i="3" s="1"/>
  <c r="E1286" i="3"/>
  <c r="E1285" i="3"/>
  <c r="E1284" i="3"/>
  <c r="D1284" i="3" s="1"/>
  <c r="E1283" i="3"/>
  <c r="E1282" i="3"/>
  <c r="E1281" i="3"/>
  <c r="E1280" i="3"/>
  <c r="E1279" i="3"/>
  <c r="E1276" i="3"/>
  <c r="E1273" i="3"/>
  <c r="E1272" i="3"/>
  <c r="E1271" i="3"/>
  <c r="E1270" i="3"/>
  <c r="E1269" i="3"/>
  <c r="E1268" i="3"/>
  <c r="E1267" i="3"/>
  <c r="E1266" i="3"/>
  <c r="E1265" i="3"/>
  <c r="E1264" i="3"/>
  <c r="E1263" i="3"/>
  <c r="E1262" i="3"/>
  <c r="E1261" i="3"/>
  <c r="E1258" i="3"/>
  <c r="E1257" i="3"/>
  <c r="E1256" i="3"/>
  <c r="E1255" i="3"/>
  <c r="E1254" i="3"/>
  <c r="E1253" i="3"/>
  <c r="E1250" i="3"/>
  <c r="E1249" i="3"/>
  <c r="E1248" i="3"/>
  <c r="E1247" i="3"/>
  <c r="E1246" i="3"/>
  <c r="E1245" i="3"/>
  <c r="E1244" i="3"/>
  <c r="E1243" i="3"/>
  <c r="E1242" i="3"/>
  <c r="E1241" i="3"/>
  <c r="E1240" i="3"/>
  <c r="E1239" i="3"/>
  <c r="E1238" i="3"/>
  <c r="E1235" i="3"/>
  <c r="E1234" i="3"/>
  <c r="E1233" i="3"/>
  <c r="E1232" i="3"/>
  <c r="E1231" i="3"/>
  <c r="E1230" i="3"/>
  <c r="E1229" i="3"/>
  <c r="E1228" i="3"/>
  <c r="E1227" i="3"/>
  <c r="E1226" i="3"/>
  <c r="E1225" i="3"/>
  <c r="E1224" i="3"/>
  <c r="E1223" i="3"/>
  <c r="E1222" i="3"/>
  <c r="E1221" i="3"/>
  <c r="E1220" i="3"/>
  <c r="E1219" i="3"/>
  <c r="E1216" i="3"/>
  <c r="E1215" i="3"/>
  <c r="E1214" i="3"/>
  <c r="E1213" i="3"/>
  <c r="E1212" i="3"/>
  <c r="E1211" i="3"/>
  <c r="E1210" i="3"/>
  <c r="E1209" i="3"/>
  <c r="E1208" i="3"/>
  <c r="E1207" i="3"/>
  <c r="E1206" i="3"/>
  <c r="E1205" i="3"/>
  <c r="E1204" i="3"/>
  <c r="E1203" i="3"/>
  <c r="E1202" i="3"/>
  <c r="E1201" i="3"/>
  <c r="E1200" i="3"/>
  <c r="E1199" i="3"/>
  <c r="E1198" i="3"/>
  <c r="E1197" i="3"/>
  <c r="E1196" i="3"/>
  <c r="E1195" i="3"/>
  <c r="E1194" i="3"/>
  <c r="E1193" i="3"/>
  <c r="E1192" i="3"/>
  <c r="E1191" i="3"/>
  <c r="E1190" i="3"/>
  <c r="E1189" i="3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4" i="3"/>
  <c r="E1103" i="3"/>
  <c r="E1102" i="3"/>
  <c r="E1101" i="3"/>
  <c r="E1100" i="3"/>
  <c r="E1099" i="3"/>
  <c r="E1098" i="3"/>
  <c r="D1098" i="3" s="1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D1051" i="3" s="1"/>
  <c r="E1050" i="3"/>
  <c r="D1050" i="3" s="1"/>
  <c r="E1049" i="3"/>
  <c r="D1049" i="3" s="1"/>
  <c r="E1367" i="4" s="1"/>
  <c r="E1048" i="3"/>
  <c r="D1048" i="3" s="1"/>
  <c r="E1047" i="3"/>
  <c r="D1047" i="3" s="1"/>
  <c r="E1366" i="4" s="1"/>
  <c r="F1366" i="4" s="1"/>
  <c r="E1046" i="3"/>
  <c r="D1046" i="3" s="1"/>
  <c r="E1365" i="4" s="1"/>
  <c r="F1365" i="4" s="1"/>
  <c r="E1045" i="3"/>
  <c r="E1044" i="3"/>
  <c r="E1043" i="3"/>
  <c r="E1042" i="3"/>
  <c r="E1039" i="3"/>
  <c r="E1038" i="3"/>
  <c r="E1036" i="3"/>
  <c r="D1036" i="3" s="1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D1019" i="3" s="1"/>
  <c r="E808" i="4" s="1"/>
  <c r="F808" i="4" s="1"/>
  <c r="G808" i="4" s="1"/>
  <c r="G810" i="4" s="1"/>
  <c r="E1018" i="3"/>
  <c r="D1018" i="3" s="1"/>
  <c r="E960" i="4" s="1"/>
  <c r="E1017" i="3"/>
  <c r="E1016" i="3"/>
  <c r="E1013" i="3"/>
  <c r="E1012" i="3"/>
  <c r="E1011" i="3"/>
  <c r="D1011" i="3" s="1"/>
  <c r="E801" i="4" s="1"/>
  <c r="F801" i="4" s="1"/>
  <c r="E1010" i="3"/>
  <c r="E1009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D995" i="3" s="1"/>
  <c r="E994" i="3"/>
  <c r="E993" i="3"/>
  <c r="D993" i="3" s="1"/>
  <c r="E992" i="3"/>
  <c r="E991" i="3"/>
  <c r="E988" i="3"/>
  <c r="E987" i="3"/>
  <c r="E986" i="3"/>
  <c r="E985" i="3"/>
  <c r="E984" i="3"/>
  <c r="E983" i="3"/>
  <c r="E982" i="3"/>
  <c r="E981" i="3"/>
  <c r="E980" i="3"/>
  <c r="E979" i="3"/>
  <c r="E978" i="3"/>
  <c r="E977" i="3"/>
  <c r="E976" i="3"/>
  <c r="E975" i="3"/>
  <c r="E974" i="3"/>
  <c r="E973" i="3"/>
  <c r="E972" i="3"/>
  <c r="E971" i="3"/>
  <c r="E970" i="3"/>
  <c r="E969" i="3"/>
  <c r="E968" i="3"/>
  <c r="E967" i="3"/>
  <c r="E966" i="3"/>
  <c r="E965" i="3"/>
  <c r="E964" i="3"/>
  <c r="E963" i="3"/>
  <c r="E962" i="3"/>
  <c r="E961" i="3"/>
  <c r="E960" i="3"/>
  <c r="E959" i="3"/>
  <c r="E958" i="3"/>
  <c r="E957" i="3"/>
  <c r="E956" i="3"/>
  <c r="E955" i="3"/>
  <c r="E954" i="3"/>
  <c r="E953" i="3"/>
  <c r="E952" i="3"/>
  <c r="E951" i="3"/>
  <c r="E950" i="3"/>
  <c r="E949" i="3"/>
  <c r="E948" i="3"/>
  <c r="E947" i="3"/>
  <c r="E946" i="3"/>
  <c r="E945" i="3"/>
  <c r="E944" i="3"/>
  <c r="E943" i="3"/>
  <c r="E942" i="3"/>
  <c r="E941" i="3"/>
  <c r="E940" i="3"/>
  <c r="E939" i="3"/>
  <c r="E938" i="3"/>
  <c r="E937" i="3"/>
  <c r="E936" i="3"/>
  <c r="E935" i="3"/>
  <c r="E934" i="3"/>
  <c r="E933" i="3"/>
  <c r="E932" i="3"/>
  <c r="E931" i="3"/>
  <c r="E930" i="3"/>
  <c r="E929" i="3"/>
  <c r="E928" i="3"/>
  <c r="E927" i="3"/>
  <c r="E926" i="3"/>
  <c r="E925" i="3"/>
  <c r="E924" i="3"/>
  <c r="E923" i="3"/>
  <c r="D923" i="3" s="1"/>
  <c r="E701" i="4" s="1"/>
  <c r="G701" i="4" s="1"/>
  <c r="E922" i="3"/>
  <c r="E921" i="3"/>
  <c r="E920" i="3"/>
  <c r="E919" i="3"/>
  <c r="E918" i="3"/>
  <c r="E917" i="3"/>
  <c r="E916" i="3"/>
  <c r="E915" i="3"/>
  <c r="E914" i="3"/>
  <c r="E913" i="3"/>
  <c r="E912" i="3"/>
  <c r="E911" i="3"/>
  <c r="E910" i="3"/>
  <c r="E909" i="3"/>
  <c r="E908" i="3"/>
  <c r="E907" i="3"/>
  <c r="E906" i="3"/>
  <c r="E905" i="3"/>
  <c r="E904" i="3"/>
  <c r="E903" i="3"/>
  <c r="E902" i="3"/>
  <c r="E901" i="3"/>
  <c r="E900" i="3"/>
  <c r="E899" i="3"/>
  <c r="E898" i="3"/>
  <c r="E897" i="3"/>
  <c r="E896" i="3"/>
  <c r="E895" i="3"/>
  <c r="E892" i="3"/>
  <c r="E891" i="3"/>
  <c r="E890" i="3"/>
  <c r="E889" i="3"/>
  <c r="E888" i="3"/>
  <c r="E887" i="3"/>
  <c r="E886" i="3"/>
  <c r="E885" i="3"/>
  <c r="E884" i="3"/>
  <c r="E883" i="3"/>
  <c r="E882" i="3"/>
  <c r="E881" i="3"/>
  <c r="E880" i="3"/>
  <c r="E879" i="3"/>
  <c r="E878" i="3"/>
  <c r="E877" i="3"/>
  <c r="E876" i="3"/>
  <c r="E875" i="3"/>
  <c r="E874" i="3"/>
  <c r="E873" i="3"/>
  <c r="E872" i="3"/>
  <c r="E871" i="3"/>
  <c r="E870" i="3"/>
  <c r="E869" i="3"/>
  <c r="E868" i="3"/>
  <c r="E867" i="3"/>
  <c r="E866" i="3"/>
  <c r="E865" i="3"/>
  <c r="E864" i="3"/>
  <c r="E863" i="3"/>
  <c r="E862" i="3"/>
  <c r="E861" i="3"/>
  <c r="E860" i="3"/>
  <c r="E859" i="3"/>
  <c r="E858" i="3"/>
  <c r="E857" i="3"/>
  <c r="E856" i="3"/>
  <c r="E855" i="3"/>
  <c r="E854" i="3"/>
  <c r="E853" i="3"/>
  <c r="E852" i="3"/>
  <c r="E851" i="3"/>
  <c r="E850" i="3"/>
  <c r="E849" i="3"/>
  <c r="E848" i="3"/>
  <c r="E847" i="3"/>
  <c r="E846" i="3"/>
  <c r="E845" i="3"/>
  <c r="E844" i="3"/>
  <c r="E843" i="3"/>
  <c r="E842" i="3"/>
  <c r="E841" i="3"/>
  <c r="E840" i="3"/>
  <c r="E839" i="3"/>
  <c r="E838" i="3"/>
  <c r="E837" i="3"/>
  <c r="E836" i="3"/>
  <c r="E835" i="3"/>
  <c r="E834" i="3"/>
  <c r="E833" i="3"/>
  <c r="E832" i="3"/>
  <c r="E831" i="3"/>
  <c r="E830" i="3"/>
  <c r="D830" i="3" s="1"/>
  <c r="E829" i="3"/>
  <c r="E828" i="3"/>
  <c r="E827" i="3"/>
  <c r="E826" i="3"/>
  <c r="E825" i="3"/>
  <c r="E822" i="3"/>
  <c r="E821" i="3"/>
  <c r="E820" i="3"/>
  <c r="E819" i="3"/>
  <c r="E818" i="3"/>
  <c r="E817" i="3"/>
  <c r="E816" i="3"/>
  <c r="E815" i="3"/>
  <c r="E814" i="3"/>
  <c r="E813" i="3"/>
  <c r="E812" i="3"/>
  <c r="E811" i="3"/>
  <c r="E810" i="3"/>
  <c r="E809" i="3"/>
  <c r="E808" i="3"/>
  <c r="E807" i="3"/>
  <c r="E806" i="3"/>
  <c r="E805" i="3"/>
  <c r="E804" i="3"/>
  <c r="E803" i="3"/>
  <c r="E802" i="3"/>
  <c r="E801" i="3"/>
  <c r="E800" i="3"/>
  <c r="E799" i="3"/>
  <c r="E798" i="3"/>
  <c r="E797" i="3"/>
  <c r="E796" i="3"/>
  <c r="E795" i="3"/>
  <c r="E794" i="3"/>
  <c r="E793" i="3"/>
  <c r="E792" i="3"/>
  <c r="E791" i="3"/>
  <c r="E790" i="3"/>
  <c r="E789" i="3"/>
  <c r="E788" i="3"/>
  <c r="E787" i="3"/>
  <c r="E786" i="3"/>
  <c r="E783" i="3"/>
  <c r="E782" i="3"/>
  <c r="E781" i="3"/>
  <c r="E780" i="3"/>
  <c r="E779" i="3"/>
  <c r="E778" i="3"/>
  <c r="E777" i="3"/>
  <c r="E776" i="3"/>
  <c r="E775" i="3"/>
  <c r="E774" i="3"/>
  <c r="E773" i="3"/>
  <c r="E772" i="3"/>
  <c r="E771" i="3"/>
  <c r="E770" i="3"/>
  <c r="E769" i="3"/>
  <c r="E768" i="3"/>
  <c r="E767" i="3"/>
  <c r="E766" i="3"/>
  <c r="E763" i="3"/>
  <c r="E762" i="3"/>
  <c r="E761" i="3"/>
  <c r="E760" i="3"/>
  <c r="E759" i="3"/>
  <c r="E758" i="3"/>
  <c r="E757" i="3"/>
  <c r="E756" i="3"/>
  <c r="E755" i="3"/>
  <c r="E754" i="3"/>
  <c r="E753" i="3"/>
  <c r="E752" i="3"/>
  <c r="E751" i="3"/>
  <c r="E750" i="3"/>
  <c r="E749" i="3"/>
  <c r="E748" i="3"/>
  <c r="E747" i="3"/>
  <c r="E746" i="3"/>
  <c r="E745" i="3"/>
  <c r="E744" i="3"/>
  <c r="E743" i="3"/>
  <c r="E742" i="3"/>
  <c r="E741" i="3"/>
  <c r="E740" i="3"/>
  <c r="E739" i="3"/>
  <c r="E738" i="3"/>
  <c r="E737" i="3"/>
  <c r="E736" i="3"/>
  <c r="D736" i="3" s="1"/>
  <c r="E735" i="3"/>
  <c r="D735" i="3" s="1"/>
  <c r="E734" i="3"/>
  <c r="E733" i="3"/>
  <c r="D733" i="3" s="1"/>
  <c r="E786" i="4" s="1"/>
  <c r="E732" i="3"/>
  <c r="D732" i="3" s="1"/>
  <c r="E731" i="3"/>
  <c r="D731" i="3" s="1"/>
  <c r="E730" i="3"/>
  <c r="D730" i="3" s="1"/>
  <c r="E729" i="3"/>
  <c r="D729" i="3" s="1"/>
  <c r="E838" i="4" s="1"/>
  <c r="E728" i="3"/>
  <c r="E727" i="3"/>
  <c r="E726" i="3"/>
  <c r="E725" i="3"/>
  <c r="E724" i="3"/>
  <c r="D724" i="3" s="1"/>
  <c r="E723" i="3"/>
  <c r="D723" i="3"/>
  <c r="E722" i="3"/>
  <c r="D722" i="3" s="1"/>
  <c r="E721" i="3"/>
  <c r="E720" i="3"/>
  <c r="E719" i="3"/>
  <c r="E718" i="3"/>
  <c r="E717" i="3"/>
  <c r="D717" i="3" s="1"/>
  <c r="E716" i="3"/>
  <c r="D716" i="3" s="1"/>
  <c r="E715" i="3"/>
  <c r="D715" i="3" s="1"/>
  <c r="E714" i="3"/>
  <c r="D714" i="3" s="1"/>
  <c r="E1368" i="4" s="1"/>
  <c r="F1368" i="4" s="1"/>
  <c r="E713" i="3"/>
  <c r="E712" i="3"/>
  <c r="E711" i="3"/>
  <c r="E710" i="3"/>
  <c r="E709" i="3"/>
  <c r="E708" i="3"/>
  <c r="D708" i="3" s="1"/>
  <c r="E705" i="3"/>
  <c r="E704" i="3"/>
  <c r="E703" i="3"/>
  <c r="E702" i="3"/>
  <c r="E701" i="3"/>
  <c r="D701" i="3" s="1"/>
  <c r="E778" i="4" s="1"/>
  <c r="E700" i="3"/>
  <c r="D700" i="3" s="1"/>
  <c r="E699" i="3"/>
  <c r="E698" i="3"/>
  <c r="E697" i="3"/>
  <c r="E696" i="3"/>
  <c r="E695" i="3"/>
  <c r="E694" i="3"/>
  <c r="E693" i="3"/>
  <c r="E692" i="3"/>
  <c r="E691" i="3"/>
  <c r="E690" i="3"/>
  <c r="E689" i="3"/>
  <c r="E688" i="3"/>
  <c r="E687" i="3"/>
  <c r="E686" i="3"/>
  <c r="E685" i="3"/>
  <c r="E684" i="3"/>
  <c r="E683" i="3"/>
  <c r="E682" i="3"/>
  <c r="E681" i="3"/>
  <c r="E680" i="3"/>
  <c r="E679" i="3"/>
  <c r="E678" i="3"/>
  <c r="E677" i="3"/>
  <c r="E676" i="3"/>
  <c r="E675" i="3"/>
  <c r="E674" i="3"/>
  <c r="E673" i="3"/>
  <c r="E672" i="3"/>
  <c r="E671" i="3"/>
  <c r="E670" i="3"/>
  <c r="E669" i="3"/>
  <c r="E668" i="3"/>
  <c r="E667" i="3"/>
  <c r="E666" i="3"/>
  <c r="E665" i="3"/>
  <c r="E664" i="3"/>
  <c r="E663" i="3"/>
  <c r="E662" i="3"/>
  <c r="E661" i="3"/>
  <c r="E660" i="3"/>
  <c r="E659" i="3"/>
  <c r="E658" i="3"/>
  <c r="E657" i="3"/>
  <c r="E656" i="3"/>
  <c r="E655" i="3"/>
  <c r="E654" i="3"/>
  <c r="E653" i="3"/>
  <c r="E652" i="3"/>
  <c r="E651" i="3"/>
  <c r="E650" i="3"/>
  <c r="E649" i="3"/>
  <c r="E648" i="3"/>
  <c r="E647" i="3"/>
  <c r="E646" i="3"/>
  <c r="E645" i="3"/>
  <c r="E644" i="3"/>
  <c r="E643" i="3"/>
  <c r="E642" i="3"/>
  <c r="E641" i="3"/>
  <c r="E640" i="3"/>
  <c r="E639" i="3"/>
  <c r="E638" i="3"/>
  <c r="E637" i="3"/>
  <c r="E636" i="3"/>
  <c r="E635" i="3"/>
  <c r="E634" i="3"/>
  <c r="E633" i="3"/>
  <c r="E632" i="3"/>
  <c r="E631" i="3"/>
  <c r="E630" i="3"/>
  <c r="E629" i="3"/>
  <c r="E628" i="3"/>
  <c r="E627" i="3"/>
  <c r="E626" i="3"/>
  <c r="E625" i="3"/>
  <c r="E624" i="3"/>
  <c r="E623" i="3"/>
  <c r="E622" i="3"/>
  <c r="E621" i="3"/>
  <c r="E620" i="3"/>
  <c r="E619" i="3"/>
  <c r="E618" i="3"/>
  <c r="E617" i="3"/>
  <c r="E616" i="3"/>
  <c r="E615" i="3"/>
  <c r="E614" i="3"/>
  <c r="D614" i="3" s="1"/>
  <c r="E613" i="3"/>
  <c r="D613" i="3" s="1"/>
  <c r="E612" i="3"/>
  <c r="D612" i="3" s="1"/>
  <c r="E848" i="4" s="1"/>
  <c r="E609" i="3"/>
  <c r="E608" i="3"/>
  <c r="E607" i="3"/>
  <c r="E606" i="3"/>
  <c r="E605" i="3"/>
  <c r="E604" i="3"/>
  <c r="E603" i="3"/>
  <c r="E602" i="3"/>
  <c r="E601" i="3"/>
  <c r="E600" i="3"/>
  <c r="E599" i="3"/>
  <c r="E598" i="3"/>
  <c r="E595" i="3"/>
  <c r="E594" i="3"/>
  <c r="E593" i="3"/>
  <c r="E592" i="3"/>
  <c r="E591" i="3"/>
  <c r="E590" i="3"/>
  <c r="E589" i="3"/>
  <c r="E586" i="3"/>
  <c r="E585" i="3"/>
  <c r="E584" i="3"/>
  <c r="E583" i="3"/>
  <c r="E582" i="3"/>
  <c r="E581" i="3"/>
  <c r="E580" i="3"/>
  <c r="E579" i="3"/>
  <c r="E578" i="3"/>
  <c r="E577" i="3"/>
  <c r="E576" i="3"/>
  <c r="E575" i="3"/>
  <c r="E574" i="3"/>
  <c r="E573" i="3"/>
  <c r="E572" i="3"/>
  <c r="E571" i="3"/>
  <c r="E570" i="3"/>
  <c r="E569" i="3"/>
  <c r="E566" i="3"/>
  <c r="E565" i="3"/>
  <c r="E564" i="3"/>
  <c r="E563" i="3"/>
  <c r="E562" i="3"/>
  <c r="E561" i="3"/>
  <c r="E560" i="3"/>
  <c r="E559" i="3"/>
  <c r="E558" i="3"/>
  <c r="E557" i="3"/>
  <c r="E556" i="3"/>
  <c r="E553" i="3"/>
  <c r="E552" i="3"/>
  <c r="E551" i="3"/>
  <c r="E550" i="3"/>
  <c r="E549" i="3"/>
  <c r="E548" i="3"/>
  <c r="E547" i="3"/>
  <c r="E546" i="3"/>
  <c r="E545" i="3"/>
  <c r="E544" i="3"/>
  <c r="E543" i="3"/>
  <c r="E542" i="3"/>
  <c r="E541" i="3"/>
  <c r="E540" i="3"/>
  <c r="E539" i="3"/>
  <c r="E538" i="3"/>
  <c r="E537" i="3"/>
  <c r="E536" i="3"/>
  <c r="E535" i="3"/>
  <c r="E534" i="3"/>
  <c r="E533" i="3"/>
  <c r="E532" i="3"/>
  <c r="E531" i="3"/>
  <c r="E530" i="3"/>
  <c r="E529" i="3"/>
  <c r="E528" i="3"/>
  <c r="E527" i="3"/>
  <c r="E526" i="3"/>
  <c r="E525" i="3"/>
  <c r="E524" i="3"/>
  <c r="E523" i="3"/>
  <c r="E522" i="3"/>
  <c r="E521" i="3"/>
  <c r="E520" i="3"/>
  <c r="E519" i="3"/>
  <c r="E518" i="3"/>
  <c r="E517" i="3"/>
  <c r="E516" i="3"/>
  <c r="E515" i="3"/>
  <c r="E514" i="3"/>
  <c r="E513" i="3"/>
  <c r="E512" i="3"/>
  <c r="E511" i="3"/>
  <c r="E510" i="3"/>
  <c r="E509" i="3"/>
  <c r="E508" i="3"/>
  <c r="E507" i="3"/>
  <c r="E506" i="3"/>
  <c r="E505" i="3"/>
  <c r="E502" i="3"/>
  <c r="E501" i="3"/>
  <c r="E500" i="3"/>
  <c r="E499" i="3"/>
  <c r="E498" i="3"/>
  <c r="D498" i="3" s="1"/>
  <c r="E497" i="3"/>
  <c r="E496" i="3"/>
  <c r="E495" i="3"/>
  <c r="E494" i="3"/>
  <c r="D494" i="3" s="1"/>
  <c r="E493" i="3"/>
  <c r="E492" i="3"/>
  <c r="E491" i="3"/>
  <c r="E490" i="3"/>
  <c r="E489" i="3"/>
  <c r="E488" i="3"/>
  <c r="E487" i="3"/>
  <c r="E486" i="3"/>
  <c r="E485" i="3"/>
  <c r="E484" i="3"/>
  <c r="D484" i="3" s="1"/>
  <c r="E483" i="3"/>
  <c r="E482" i="3"/>
  <c r="E481" i="3"/>
  <c r="E480" i="3"/>
  <c r="E479" i="3"/>
  <c r="E478" i="3"/>
  <c r="E477" i="3"/>
  <c r="E476" i="3"/>
  <c r="E475" i="3"/>
  <c r="E474" i="3"/>
  <c r="E473" i="3"/>
  <c r="E472" i="3"/>
  <c r="E471" i="3"/>
  <c r="E470" i="3"/>
  <c r="E469" i="3"/>
  <c r="E468" i="3"/>
  <c r="E467" i="3"/>
  <c r="D467" i="3"/>
  <c r="E466" i="3"/>
  <c r="D466" i="3" s="1"/>
  <c r="E465" i="3"/>
  <c r="E464" i="3"/>
  <c r="E461" i="3"/>
  <c r="E460" i="3"/>
  <c r="E459" i="3"/>
  <c r="E458" i="3"/>
  <c r="E457" i="3"/>
  <c r="E456" i="3"/>
  <c r="E455" i="3"/>
  <c r="E452" i="3"/>
  <c r="E451" i="3"/>
  <c r="E450" i="3"/>
  <c r="E449" i="3"/>
  <c r="E448" i="3"/>
  <c r="E447" i="3"/>
  <c r="E446" i="3"/>
  <c r="E445" i="3"/>
  <c r="E444" i="3"/>
  <c r="E441" i="3"/>
  <c r="E440" i="3"/>
  <c r="E439" i="3"/>
  <c r="E438" i="3"/>
  <c r="E437" i="3"/>
  <c r="E436" i="3"/>
  <c r="E435" i="3"/>
  <c r="E434" i="3"/>
  <c r="E433" i="3"/>
  <c r="E432" i="3"/>
  <c r="E431" i="3"/>
  <c r="E430" i="3"/>
  <c r="E429" i="3"/>
  <c r="E428" i="3"/>
  <c r="E427" i="3"/>
  <c r="E426" i="3"/>
  <c r="E425" i="3"/>
  <c r="E424" i="3"/>
  <c r="E423" i="3"/>
  <c r="E422" i="3"/>
  <c r="E421" i="3"/>
  <c r="E420" i="3"/>
  <c r="E419" i="3"/>
  <c r="E418" i="3"/>
  <c r="E417" i="3"/>
  <c r="E416" i="3"/>
  <c r="E415" i="3"/>
  <c r="E414" i="3"/>
  <c r="E413" i="3"/>
  <c r="E412" i="3"/>
  <c r="E411" i="3"/>
  <c r="E410" i="3"/>
  <c r="E406" i="3"/>
  <c r="E405" i="3"/>
  <c r="E404" i="3"/>
  <c r="E403" i="3"/>
  <c r="E402" i="3"/>
  <c r="E401" i="3"/>
  <c r="E400" i="3"/>
  <c r="E399" i="3"/>
  <c r="E398" i="3"/>
  <c r="E397" i="3"/>
  <c r="E396" i="3"/>
  <c r="E395" i="3"/>
  <c r="E394" i="3"/>
  <c r="E393" i="3"/>
  <c r="E392" i="3"/>
  <c r="E391" i="3"/>
  <c r="E390" i="3"/>
  <c r="E389" i="3"/>
  <c r="E388" i="3"/>
  <c r="E387" i="3"/>
  <c r="E386" i="3"/>
  <c r="E385" i="3"/>
  <c r="E384" i="3"/>
  <c r="E383" i="3"/>
  <c r="E382" i="3"/>
  <c r="E381" i="3"/>
  <c r="E380" i="3"/>
  <c r="E379" i="3"/>
  <c r="E378" i="3"/>
  <c r="E377" i="3"/>
  <c r="E376" i="3"/>
  <c r="E375" i="3"/>
  <c r="E374" i="3"/>
  <c r="E373" i="3"/>
  <c r="E372" i="3"/>
  <c r="E371" i="3"/>
  <c r="E370" i="3"/>
  <c r="E369" i="3"/>
  <c r="E366" i="3"/>
  <c r="E365" i="3"/>
  <c r="E364" i="3"/>
  <c r="E363" i="3"/>
  <c r="E362" i="3"/>
  <c r="E361" i="3"/>
  <c r="E360" i="3"/>
  <c r="E359" i="3"/>
  <c r="E358" i="3"/>
  <c r="E357" i="3"/>
  <c r="E356" i="3"/>
  <c r="E355" i="3"/>
  <c r="E354" i="3"/>
  <c r="E353" i="3"/>
  <c r="E352" i="3"/>
  <c r="E351" i="3"/>
  <c r="E350" i="3"/>
  <c r="E349" i="3"/>
  <c r="E348" i="3"/>
  <c r="E347" i="3"/>
  <c r="E346" i="3"/>
  <c r="E345" i="3"/>
  <c r="E342" i="3"/>
  <c r="E341" i="3"/>
  <c r="E340" i="3"/>
  <c r="E339" i="3"/>
  <c r="E338" i="3"/>
  <c r="E337" i="3"/>
  <c r="E336" i="3"/>
  <c r="E335" i="3"/>
  <c r="E334" i="3"/>
  <c r="E333" i="3"/>
  <c r="E332" i="3"/>
  <c r="E331" i="3"/>
  <c r="E330" i="3"/>
  <c r="E329" i="3"/>
  <c r="E328" i="3"/>
  <c r="E327" i="3"/>
  <c r="E326" i="3"/>
  <c r="E325" i="3"/>
  <c r="E324" i="3"/>
  <c r="E323" i="3"/>
  <c r="E322" i="3"/>
  <c r="E321" i="3"/>
  <c r="E320" i="3"/>
  <c r="E319" i="3"/>
  <c r="E318" i="3"/>
  <c r="E317" i="3"/>
  <c r="E316" i="3"/>
  <c r="E315" i="3"/>
  <c r="E314" i="3"/>
  <c r="E313" i="3"/>
  <c r="E312" i="3"/>
  <c r="E311" i="3"/>
  <c r="E310" i="3"/>
  <c r="D310" i="3" s="1"/>
  <c r="E473" i="4" s="1"/>
  <c r="G473" i="4" s="1"/>
  <c r="E309" i="3"/>
  <c r="E308" i="3"/>
  <c r="E307" i="3"/>
  <c r="E306" i="3"/>
  <c r="E305" i="3"/>
  <c r="E304" i="3"/>
  <c r="E303" i="3"/>
  <c r="E302" i="3"/>
  <c r="E301" i="3"/>
  <c r="D301" i="3" s="1"/>
  <c r="E472" i="4" s="1"/>
  <c r="E300" i="3"/>
  <c r="E299" i="3"/>
  <c r="E298" i="3"/>
  <c r="E297" i="3"/>
  <c r="E296" i="3"/>
  <c r="E295" i="3"/>
  <c r="E294" i="3"/>
  <c r="E293" i="3"/>
  <c r="E292" i="3"/>
  <c r="E291" i="3"/>
  <c r="E290" i="3"/>
  <c r="E289" i="3"/>
  <c r="E288" i="3"/>
  <c r="E287" i="3"/>
  <c r="D287" i="3"/>
  <c r="E286" i="3"/>
  <c r="E285" i="3"/>
  <c r="E284" i="3"/>
  <c r="D284" i="3" s="1"/>
  <c r="E283" i="3"/>
  <c r="E282" i="3"/>
  <c r="E281" i="3"/>
  <c r="E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E265" i="3"/>
  <c r="E264" i="3"/>
  <c r="E261" i="3"/>
  <c r="E260" i="3"/>
  <c r="E259" i="3"/>
  <c r="E258" i="3"/>
  <c r="E257" i="3"/>
  <c r="E256" i="3"/>
  <c r="E255" i="3"/>
  <c r="E252" i="3"/>
  <c r="E251" i="3"/>
  <c r="E250" i="3"/>
  <c r="E249" i="3"/>
  <c r="E248" i="3"/>
  <c r="E247" i="3"/>
  <c r="E246" i="3"/>
  <c r="E243" i="3"/>
  <c r="E242" i="3"/>
  <c r="E241" i="3"/>
  <c r="D241" i="3" s="1"/>
  <c r="E1094" i="4" s="1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0" i="3"/>
  <c r="E219" i="3"/>
  <c r="E218" i="3"/>
  <c r="E217" i="3"/>
  <c r="E216" i="3"/>
  <c r="E215" i="3"/>
  <c r="E212" i="3"/>
  <c r="E209" i="3"/>
  <c r="E208" i="3"/>
  <c r="E207" i="3"/>
  <c r="E206" i="3"/>
  <c r="E203" i="3"/>
  <c r="E202" i="3"/>
  <c r="E199" i="3"/>
  <c r="E198" i="3"/>
  <c r="E197" i="3"/>
  <c r="E196" i="3"/>
  <c r="E195" i="3"/>
  <c r="E194" i="3"/>
  <c r="E193" i="3"/>
  <c r="E192" i="3"/>
  <c r="E191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2" i="3"/>
  <c r="E171" i="3"/>
  <c r="E164" i="3"/>
  <c r="E163" i="3"/>
  <c r="E162" i="3"/>
  <c r="E161" i="3"/>
  <c r="E160" i="3"/>
  <c r="E159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29" i="3"/>
  <c r="E128" i="3"/>
  <c r="E127" i="3"/>
  <c r="E124" i="3"/>
  <c r="E123" i="3"/>
  <c r="E120" i="3"/>
  <c r="D120" i="3"/>
  <c r="E119" i="3"/>
  <c r="D119" i="3" s="1"/>
  <c r="E757" i="4" s="1"/>
  <c r="F757" i="4" s="1"/>
  <c r="G757" i="4" s="1"/>
  <c r="E118" i="3"/>
  <c r="D118" i="3" s="1"/>
  <c r="E117" i="3"/>
  <c r="D117" i="3" s="1"/>
  <c r="E114" i="3"/>
  <c r="D114" i="3" s="1"/>
  <c r="E113" i="3"/>
  <c r="D113" i="3"/>
  <c r="E112" i="3"/>
  <c r="D112" i="3" s="1"/>
  <c r="E111" i="3"/>
  <c r="D111" i="3" s="1"/>
  <c r="E110" i="3"/>
  <c r="D110" i="3" s="1"/>
  <c r="E109" i="3"/>
  <c r="D109" i="3" s="1"/>
  <c r="E108" i="3"/>
  <c r="D108" i="3" s="1"/>
  <c r="E107" i="3"/>
  <c r="D107" i="3" s="1"/>
  <c r="E106" i="3"/>
  <c r="D106" i="3" s="1"/>
  <c r="E105" i="3"/>
  <c r="D105" i="3" s="1"/>
  <c r="E104" i="3"/>
  <c r="D104" i="3" s="1"/>
  <c r="E100" i="3"/>
  <c r="E99" i="3"/>
  <c r="E98" i="3"/>
  <c r="E97" i="3"/>
  <c r="D97" i="3" s="1"/>
  <c r="E96" i="3"/>
  <c r="D96" i="3" s="1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D68" i="3" s="1"/>
  <c r="E67" i="3"/>
  <c r="D67" i="3" s="1"/>
  <c r="E66" i="3"/>
  <c r="D66" i="3" s="1"/>
  <c r="E65" i="3"/>
  <c r="D65" i="3"/>
  <c r="E64" i="3"/>
  <c r="D64" i="3" s="1"/>
  <c r="E61" i="3"/>
  <c r="E58" i="3"/>
  <c r="E57" i="3"/>
  <c r="E54" i="3"/>
  <c r="D54" i="3" s="1"/>
  <c r="E53" i="3"/>
  <c r="D53" i="3" s="1"/>
  <c r="E52" i="3"/>
  <c r="D52" i="3" s="1"/>
  <c r="E51" i="3"/>
  <c r="D51" i="3" s="1"/>
  <c r="E50" i="3"/>
  <c r="D50" i="3" s="1"/>
  <c r="E49" i="3"/>
  <c r="D49" i="3" s="1"/>
  <c r="E48" i="3"/>
  <c r="D48" i="3" s="1"/>
  <c r="E47" i="3"/>
  <c r="D47" i="3" s="1"/>
  <c r="E46" i="3"/>
  <c r="D46" i="3" s="1"/>
  <c r="E45" i="3"/>
  <c r="D45" i="3" s="1"/>
  <c r="E44" i="3"/>
  <c r="D44" i="3" s="1"/>
  <c r="E43" i="3"/>
  <c r="D43" i="3" s="1"/>
  <c r="E42" i="3"/>
  <c r="D42" i="3"/>
  <c r="E41" i="3"/>
  <c r="D41" i="3" s="1"/>
  <c r="E40" i="3"/>
  <c r="D40" i="3" s="1"/>
  <c r="E39" i="3"/>
  <c r="D39" i="3"/>
  <c r="E38" i="3"/>
  <c r="D38" i="3" s="1"/>
  <c r="E35" i="3"/>
  <c r="D35" i="3" s="1"/>
  <c r="E34" i="3"/>
  <c r="D34" i="3" s="1"/>
  <c r="E33" i="3"/>
  <c r="D33" i="3" s="1"/>
  <c r="E32" i="3"/>
  <c r="D32" i="3" s="1"/>
  <c r="E31" i="3"/>
  <c r="D31" i="3" s="1"/>
  <c r="E28" i="3"/>
  <c r="D28" i="3" s="1"/>
  <c r="E27" i="3"/>
  <c r="D27" i="3" s="1"/>
  <c r="E26" i="3"/>
  <c r="D26" i="3"/>
  <c r="E25" i="3"/>
  <c r="D25" i="3" s="1"/>
  <c r="E24" i="3"/>
  <c r="D24" i="3" s="1"/>
  <c r="E23" i="3"/>
  <c r="D23" i="3" s="1"/>
  <c r="E22" i="3"/>
  <c r="D22" i="3" s="1"/>
  <c r="E21" i="3"/>
  <c r="D21" i="3" s="1"/>
  <c r="E20" i="3"/>
  <c r="D20" i="3" s="1"/>
  <c r="E19" i="3"/>
  <c r="D19" i="3" s="1"/>
  <c r="E18" i="3"/>
  <c r="D18" i="3" s="1"/>
  <c r="E17" i="3"/>
  <c r="D17" i="3" s="1"/>
  <c r="E16" i="3"/>
  <c r="D16" i="3" s="1"/>
  <c r="E15" i="3"/>
  <c r="D15" i="3" s="1"/>
  <c r="E14" i="3"/>
  <c r="D14" i="3" s="1"/>
  <c r="E13" i="3"/>
  <c r="D13" i="3" s="1"/>
  <c r="E10" i="3"/>
  <c r="D10" i="3" s="1"/>
  <c r="E9" i="3"/>
  <c r="D9" i="3" s="1"/>
  <c r="E8" i="3"/>
  <c r="D8" i="3" s="1"/>
  <c r="E7" i="3"/>
  <c r="D7" i="3" s="1"/>
  <c r="E6" i="3"/>
  <c r="D6" i="3" s="1"/>
  <c r="E5" i="3"/>
  <c r="D5" i="3" s="1"/>
  <c r="E4" i="3"/>
  <c r="D4" i="3" s="1"/>
  <c r="E3" i="3"/>
  <c r="D3" i="3" s="1"/>
  <c r="E50" i="2" s="1"/>
  <c r="E856" i="4" l="1"/>
  <c r="G856" i="4" s="1"/>
  <c r="G857" i="4" s="1"/>
  <c r="F22" i="8"/>
  <c r="O368" i="4"/>
  <c r="P368" i="4" s="1"/>
  <c r="Q368" i="4" s="1"/>
  <c r="F215" i="8"/>
  <c r="F136" i="8"/>
  <c r="E1789" i="4"/>
  <c r="E1780" i="4"/>
  <c r="E1797" i="4"/>
  <c r="E1771" i="4"/>
  <c r="E1481" i="4"/>
  <c r="E1632" i="4"/>
  <c r="E1489" i="4"/>
  <c r="E1624" i="4"/>
  <c r="E1472" i="4"/>
  <c r="E1615" i="4"/>
  <c r="E1087" i="4"/>
  <c r="E1062" i="4"/>
  <c r="F1062" i="4" s="1"/>
  <c r="G1062" i="4" s="1"/>
  <c r="E1054" i="4"/>
  <c r="E921" i="4"/>
  <c r="E1080" i="4"/>
  <c r="E1071" i="4"/>
  <c r="E937" i="4"/>
  <c r="F937" i="4" s="1"/>
  <c r="G937" i="4" s="1"/>
  <c r="E361" i="4"/>
  <c r="E377" i="4"/>
  <c r="F377" i="4" s="1"/>
  <c r="G377" i="4" s="1"/>
  <c r="E352" i="4"/>
  <c r="F352" i="4" s="1"/>
  <c r="G352" i="4" s="1"/>
  <c r="E334" i="4"/>
  <c r="E369" i="4"/>
  <c r="E343" i="4"/>
  <c r="F343" i="4" s="1"/>
  <c r="G343" i="4" s="1"/>
  <c r="E1202" i="4"/>
  <c r="F1202" i="4" s="1"/>
  <c r="G1202" i="4" s="1"/>
  <c r="E1156" i="4"/>
  <c r="F1156" i="4" s="1"/>
  <c r="G1156" i="4" s="1"/>
  <c r="G1158" i="4" s="1"/>
  <c r="E1131" i="4"/>
  <c r="E1144" i="4"/>
  <c r="E1150" i="4"/>
  <c r="E408" i="4"/>
  <c r="F408" i="4" s="1"/>
  <c r="E219" i="4"/>
  <c r="E241" i="4"/>
  <c r="E230" i="4"/>
  <c r="E208" i="4"/>
  <c r="E197" i="4"/>
  <c r="E1584" i="4"/>
  <c r="E1722" i="4"/>
  <c r="E1575" i="4"/>
  <c r="E1731" i="4"/>
  <c r="E1714" i="4"/>
  <c r="E1008" i="4"/>
  <c r="E251" i="4"/>
  <c r="E164" i="4"/>
  <c r="E175" i="4"/>
  <c r="E186" i="4"/>
  <c r="E114" i="4"/>
  <c r="E131" i="4"/>
  <c r="E1567" i="4"/>
  <c r="F1567" i="4" s="1"/>
  <c r="E1442" i="4"/>
  <c r="E1740" i="4"/>
  <c r="F1740" i="4" s="1"/>
  <c r="E1000" i="4"/>
  <c r="E901" i="4"/>
  <c r="F901" i="4" s="1"/>
  <c r="E913" i="4"/>
  <c r="E892" i="4"/>
  <c r="F892" i="4" s="1"/>
  <c r="E410" i="4"/>
  <c r="F410" i="4" s="1"/>
  <c r="E142" i="4"/>
  <c r="F142" i="4" s="1"/>
  <c r="E153" i="4"/>
  <c r="F153" i="4" s="1"/>
  <c r="E122" i="4"/>
  <c r="F122" i="4" s="1"/>
  <c r="E260" i="4"/>
  <c r="F260" i="4" s="1"/>
  <c r="E1203" i="4"/>
  <c r="E409" i="4"/>
  <c r="F409" i="4" s="1"/>
  <c r="E322" i="4"/>
  <c r="E238" i="4"/>
  <c r="E239" i="4"/>
  <c r="E218" i="4"/>
  <c r="E217" i="4"/>
  <c r="E216" i="4"/>
  <c r="E240" i="4"/>
  <c r="E229" i="4"/>
  <c r="E205" i="4"/>
  <c r="E228" i="4"/>
  <c r="E227" i="4"/>
  <c r="E195" i="4"/>
  <c r="E206" i="4"/>
  <c r="E194" i="4"/>
  <c r="E150" i="4"/>
  <c r="E196" i="4"/>
  <c r="E207" i="4"/>
  <c r="E215" i="4"/>
  <c r="E237" i="4"/>
  <c r="E193" i="4"/>
  <c r="E204" i="4"/>
  <c r="E226" i="4"/>
  <c r="F472" i="4"/>
  <c r="G472" i="4" s="1"/>
  <c r="G476" i="4" s="1"/>
  <c r="E737" i="4"/>
  <c r="E729" i="4"/>
  <c r="F729" i="4" s="1"/>
  <c r="G729" i="4" s="1"/>
  <c r="F786" i="4"/>
  <c r="G786" i="4"/>
  <c r="G787" i="4" s="1"/>
  <c r="E738" i="4"/>
  <c r="E730" i="4"/>
  <c r="F730" i="4" s="1"/>
  <c r="G730" i="4" s="1"/>
  <c r="F778" i="4"/>
  <c r="G778" i="4"/>
  <c r="G781" i="4" s="1"/>
  <c r="E622" i="4"/>
  <c r="E487" i="4"/>
  <c r="F487" i="4" s="1"/>
  <c r="E319" i="4"/>
  <c r="E1448" i="4"/>
  <c r="E1459" i="4"/>
  <c r="E769" i="4"/>
  <c r="F1094" i="4"/>
  <c r="G1094" i="4"/>
  <c r="G1095" i="4" s="1"/>
  <c r="E590" i="4"/>
  <c r="F590" i="4" s="1"/>
  <c r="G590" i="4" s="1"/>
  <c r="G591" i="4" s="1"/>
  <c r="E585" i="4"/>
  <c r="E580" i="4"/>
  <c r="F580" i="4" s="1"/>
  <c r="G580" i="4" s="1"/>
  <c r="G581" i="4" s="1"/>
  <c r="E431" i="4"/>
  <c r="G431" i="4" s="1"/>
  <c r="E442" i="4"/>
  <c r="G442" i="4" s="1"/>
  <c r="E464" i="4"/>
  <c r="G464" i="4" s="1"/>
  <c r="E420" i="4"/>
  <c r="G420" i="4" s="1"/>
  <c r="E492" i="4"/>
  <c r="G492" i="4" s="1"/>
  <c r="E453" i="4"/>
  <c r="G453" i="4" s="1"/>
  <c r="E627" i="4"/>
  <c r="G627" i="4" s="1"/>
  <c r="E488" i="4"/>
  <c r="G488" i="4" s="1"/>
  <c r="E623" i="4"/>
  <c r="G623" i="4" s="1"/>
  <c r="E1816" i="4"/>
  <c r="F1816" i="4" s="1"/>
  <c r="G1816" i="4" s="1"/>
  <c r="E1666" i="4"/>
  <c r="F838" i="4"/>
  <c r="G838" i="4"/>
  <c r="E739" i="4"/>
  <c r="E731" i="4"/>
  <c r="E828" i="4"/>
  <c r="E818" i="4"/>
  <c r="E308" i="4"/>
  <c r="E297" i="4"/>
  <c r="F848" i="4"/>
  <c r="G848" i="4"/>
  <c r="E849" i="4" s="1"/>
  <c r="G849" i="4" s="1"/>
  <c r="E430" i="4"/>
  <c r="G430" i="4" s="1"/>
  <c r="E441" i="4"/>
  <c r="G441" i="4" s="1"/>
  <c r="E462" i="4"/>
  <c r="E463" i="4"/>
  <c r="G463" i="4" s="1"/>
  <c r="E419" i="4"/>
  <c r="G419" i="4" s="1"/>
  <c r="E491" i="4"/>
  <c r="G491" i="4" s="1"/>
  <c r="E626" i="4"/>
  <c r="G626" i="4" s="1"/>
  <c r="E452" i="4"/>
  <c r="G452" i="4" s="1"/>
  <c r="Q139" i="4"/>
  <c r="F322" i="4"/>
  <c r="G322" i="4" s="1"/>
  <c r="E1758" i="4"/>
  <c r="E1747" i="4"/>
  <c r="F1747" i="4" s="1"/>
  <c r="G1747" i="4" s="1"/>
  <c r="E1602" i="4"/>
  <c r="E1591" i="4"/>
  <c r="E1030" i="4"/>
  <c r="E1041" i="4"/>
  <c r="E1761" i="4"/>
  <c r="E1750" i="4"/>
  <c r="E1729" i="4"/>
  <c r="E1713" i="4"/>
  <c r="E1583" i="4"/>
  <c r="F1583" i="4" s="1"/>
  <c r="G1583" i="4" s="1"/>
  <c r="E1582" i="4"/>
  <c r="F1582" i="4" s="1"/>
  <c r="G1582" i="4" s="1"/>
  <c r="E1574" i="4"/>
  <c r="E1730" i="4"/>
  <c r="E1721" i="4"/>
  <c r="E1007" i="4"/>
  <c r="E287" i="4"/>
  <c r="E185" i="4"/>
  <c r="E183" i="4"/>
  <c r="E174" i="4"/>
  <c r="E172" i="4"/>
  <c r="E163" i="4"/>
  <c r="F163" i="4" s="1"/>
  <c r="G163" i="4" s="1"/>
  <c r="E161" i="4"/>
  <c r="E300" i="4"/>
  <c r="E249" i="4"/>
  <c r="F249" i="4" s="1"/>
  <c r="G249" i="4" s="1"/>
  <c r="E250" i="4"/>
  <c r="E184" i="4"/>
  <c r="E173" i="4"/>
  <c r="F173" i="4" s="1"/>
  <c r="G173" i="4" s="1"/>
  <c r="E162" i="4"/>
  <c r="F162" i="4" s="1"/>
  <c r="G162" i="4" s="1"/>
  <c r="E130" i="4"/>
  <c r="F130" i="4" s="1"/>
  <c r="G130" i="4" s="1"/>
  <c r="E129" i="4"/>
  <c r="E113" i="4"/>
  <c r="F113" i="4" s="1"/>
  <c r="G113" i="4" s="1"/>
  <c r="E1594" i="4"/>
  <c r="E1462" i="4"/>
  <c r="E1441" i="4"/>
  <c r="E1739" i="4"/>
  <c r="F1739" i="4" s="1"/>
  <c r="E1605" i="4"/>
  <c r="E1566" i="4"/>
  <c r="F1566" i="4" s="1"/>
  <c r="E1451" i="4"/>
  <c r="E1033" i="4"/>
  <c r="E1016" i="4"/>
  <c r="F1016" i="4" s="1"/>
  <c r="G1016" i="4" s="1"/>
  <c r="E999" i="4"/>
  <c r="E900" i="4"/>
  <c r="F900" i="4" s="1"/>
  <c r="E891" i="4"/>
  <c r="F891" i="4" s="1"/>
  <c r="G891" i="4" s="1"/>
  <c r="E758" i="4"/>
  <c r="F758" i="4" s="1"/>
  <c r="G758" i="4" s="1"/>
  <c r="E1044" i="4"/>
  <c r="E912" i="4"/>
  <c r="E770" i="4"/>
  <c r="E311" i="4"/>
  <c r="F311" i="4" s="1"/>
  <c r="E268" i="4"/>
  <c r="F268" i="4" s="1"/>
  <c r="E141" i="4"/>
  <c r="E151" i="4"/>
  <c r="E278" i="4"/>
  <c r="F278" i="4" s="1"/>
  <c r="E269" i="4"/>
  <c r="E140" i="4"/>
  <c r="F140" i="4" s="1"/>
  <c r="E152" i="4"/>
  <c r="F152" i="4" s="1"/>
  <c r="E259" i="4"/>
  <c r="F259" i="4" s="1"/>
  <c r="E121" i="4"/>
  <c r="F121" i="4" s="1"/>
  <c r="E489" i="4"/>
  <c r="F489" i="4" s="1"/>
  <c r="E624" i="4"/>
  <c r="E5" i="2"/>
  <c r="F5" i="2" s="1"/>
  <c r="G5" i="2" s="1"/>
  <c r="E49" i="2"/>
  <c r="F49" i="2" s="1"/>
  <c r="E60" i="2"/>
  <c r="F60" i="2" s="1"/>
  <c r="E16" i="2"/>
  <c r="F16" i="2" s="1"/>
  <c r="E27" i="2"/>
  <c r="F27" i="2" s="1"/>
  <c r="E38" i="2"/>
  <c r="F38" i="2" s="1"/>
  <c r="E1856" i="4"/>
  <c r="F1856" i="4" s="1"/>
  <c r="G1856" i="4" s="1"/>
  <c r="G1859" i="4" s="1"/>
  <c r="E1720" i="4"/>
  <c r="E1712" i="4"/>
  <c r="E1581" i="4"/>
  <c r="E1573" i="4"/>
  <c r="E1728" i="4"/>
  <c r="E286" i="4"/>
  <c r="E248" i="4"/>
  <c r="E171" i="4"/>
  <c r="E160" i="4"/>
  <c r="E182" i="4"/>
  <c r="E128" i="4"/>
  <c r="E112" i="4"/>
  <c r="E1738" i="4"/>
  <c r="F1738" i="4" s="1"/>
  <c r="E1565" i="4"/>
  <c r="F1565" i="4" s="1"/>
  <c r="E998" i="4"/>
  <c r="E899" i="4"/>
  <c r="F899" i="4" s="1"/>
  <c r="E890" i="4"/>
  <c r="F890" i="4" s="1"/>
  <c r="E139" i="4"/>
  <c r="F139" i="4" s="1"/>
  <c r="E149" i="4"/>
  <c r="F149" i="4" s="1"/>
  <c r="E258" i="4"/>
  <c r="F258" i="4" s="1"/>
  <c r="E277" i="4"/>
  <c r="F277" i="4" s="1"/>
  <c r="E267" i="4"/>
  <c r="F267" i="4" s="1"/>
  <c r="E120" i="4"/>
  <c r="F120" i="4" s="1"/>
  <c r="F960" i="4"/>
  <c r="G960" i="4" s="1"/>
  <c r="G961" i="4" s="1"/>
  <c r="E451" i="4"/>
  <c r="E418" i="4"/>
  <c r="A12" i="6"/>
  <c r="E839" i="4"/>
  <c r="G839" i="4" s="1"/>
  <c r="G840" i="4" s="1"/>
  <c r="P149" i="4"/>
  <c r="Q149" i="4" s="1"/>
  <c r="O333" i="4"/>
  <c r="P333" i="4" s="1"/>
  <c r="Q333" i="4" s="1"/>
  <c r="G270" i="4"/>
  <c r="G279" i="4"/>
  <c r="Q258" i="4"/>
  <c r="O120" i="4"/>
  <c r="P120" i="4" s="1"/>
  <c r="Q120" i="4" s="1"/>
  <c r="Q118" i="4"/>
  <c r="G1315" i="4"/>
  <c r="G1356" i="4"/>
  <c r="O900" i="4"/>
  <c r="P900" i="4" s="1"/>
  <c r="G1326" i="4"/>
  <c r="G97" i="4"/>
  <c r="F36" i="8" s="1"/>
  <c r="G38" i="8" s="1"/>
  <c r="O152" i="4"/>
  <c r="P152" i="4" s="1"/>
  <c r="G153" i="4"/>
  <c r="O904" i="4"/>
  <c r="P904" i="4" s="1"/>
  <c r="G1290" i="4"/>
  <c r="G1278" i="4"/>
  <c r="G1740" i="4"/>
  <c r="G142" i="4"/>
  <c r="G122" i="4"/>
  <c r="G892" i="4"/>
  <c r="O915" i="4"/>
  <c r="P915" i="4" s="1"/>
  <c r="G1567" i="4"/>
  <c r="G27" i="4"/>
  <c r="G260" i="4"/>
  <c r="O140" i="4"/>
  <c r="P140" i="4" s="1"/>
  <c r="F607" i="4"/>
  <c r="G607" i="4" s="1"/>
  <c r="G608" i="4" s="1"/>
  <c r="G715" i="4"/>
  <c r="O409" i="4"/>
  <c r="P409" i="4" s="1"/>
  <c r="G409" i="4"/>
  <c r="G487" i="4"/>
  <c r="E494" i="4" s="1"/>
  <c r="G494" i="4" s="1"/>
  <c r="G617" i="4"/>
  <c r="G618" i="4" s="1"/>
  <c r="G387" i="4"/>
  <c r="K535" i="4"/>
  <c r="G536" i="4"/>
  <c r="G537" i="4" s="1"/>
  <c r="G541" i="4"/>
  <c r="G573" i="4"/>
  <c r="G574" i="4" s="1"/>
  <c r="F109" i="8" s="1"/>
  <c r="G663" i="4"/>
  <c r="G673" i="4" s="1"/>
  <c r="F681" i="4"/>
  <c r="G681" i="4" s="1"/>
  <c r="C791" i="4"/>
  <c r="G791" i="4" s="1"/>
  <c r="G792" i="4"/>
  <c r="G793" i="4"/>
  <c r="G955" i="4"/>
  <c r="G956" i="4" s="1"/>
  <c r="G801" i="4"/>
  <c r="O909" i="4"/>
  <c r="P909" i="4" s="1"/>
  <c r="G1229" i="4"/>
  <c r="G1231" i="4" s="1"/>
  <c r="G1365" i="4"/>
  <c r="F1367" i="4"/>
  <c r="G1367" i="4" s="1"/>
  <c r="J272" i="4"/>
  <c r="O271" i="4"/>
  <c r="O273" i="4" s="1"/>
  <c r="P273" i="4" s="1"/>
  <c r="O259" i="4"/>
  <c r="P259" i="4" s="1"/>
  <c r="O278" i="4"/>
  <c r="P278" i="4" s="1"/>
  <c r="O268" i="4"/>
  <c r="P268" i="4" s="1"/>
  <c r="O280" i="4"/>
  <c r="O282" i="4" s="1"/>
  <c r="P282" i="4" s="1"/>
  <c r="G637" i="4"/>
  <c r="G639" i="4" s="1"/>
  <c r="G643" i="4"/>
  <c r="G410" i="4"/>
  <c r="G612" i="4"/>
  <c r="G613" i="4" s="1"/>
  <c r="G595" i="4"/>
  <c r="G596" i="4" s="1"/>
  <c r="F115" i="8" s="1"/>
  <c r="G682" i="4"/>
  <c r="O891" i="4"/>
  <c r="P891" i="4" s="1"/>
  <c r="J903" i="4"/>
  <c r="J912" i="4"/>
  <c r="O893" i="4"/>
  <c r="O895" i="4" s="1"/>
  <c r="P895" i="4" s="1"/>
  <c r="G900" i="4"/>
  <c r="G901" i="4"/>
  <c r="G1366" i="4"/>
  <c r="G1368" i="4"/>
  <c r="G1514" i="4"/>
  <c r="G1515" i="4" s="1"/>
  <c r="G64" i="2"/>
  <c r="G62" i="2"/>
  <c r="G61" i="2"/>
  <c r="G54" i="2"/>
  <c r="G52" i="2"/>
  <c r="G51" i="2"/>
  <c r="F50" i="2"/>
  <c r="G50" i="2" s="1"/>
  <c r="G49" i="2"/>
  <c r="G43" i="2"/>
  <c r="G40" i="2"/>
  <c r="G39" i="2"/>
  <c r="G32" i="2"/>
  <c r="G30" i="2"/>
  <c r="G29" i="2"/>
  <c r="G28" i="2"/>
  <c r="G21" i="2"/>
  <c r="G19" i="2"/>
  <c r="G18" i="2"/>
  <c r="G17" i="2"/>
  <c r="G16" i="2"/>
  <c r="G10" i="2"/>
  <c r="G8" i="2"/>
  <c r="G7" i="2"/>
  <c r="G6" i="2"/>
  <c r="F338" i="8" l="1"/>
  <c r="F104" i="8"/>
  <c r="F320" i="8"/>
  <c r="F360" i="8"/>
  <c r="F205" i="8"/>
  <c r="F333" i="8"/>
  <c r="F198" i="8"/>
  <c r="F353" i="8"/>
  <c r="F343" i="8"/>
  <c r="F124" i="8"/>
  <c r="F299" i="8"/>
  <c r="F78" i="8"/>
  <c r="F356" i="8"/>
  <c r="F201" i="8"/>
  <c r="F363" i="8"/>
  <c r="F208" i="8"/>
  <c r="F334" i="8"/>
  <c r="F202" i="8"/>
  <c r="F357" i="8"/>
  <c r="F359" i="8"/>
  <c r="F204" i="8"/>
  <c r="F326" i="8"/>
  <c r="F112" i="8"/>
  <c r="F332" i="8"/>
  <c r="F175" i="8"/>
  <c r="F133" i="8"/>
  <c r="F134" i="8"/>
  <c r="F89" i="8"/>
  <c r="F126" i="8"/>
  <c r="F345" i="8"/>
  <c r="F139" i="8"/>
  <c r="F114" i="8"/>
  <c r="F3" i="6"/>
  <c r="F828" i="4"/>
  <c r="G828" i="4" s="1"/>
  <c r="E829" i="4" s="1"/>
  <c r="G829" i="4" s="1"/>
  <c r="G830" i="4" s="1"/>
  <c r="F1448" i="4"/>
  <c r="G1448" i="4" s="1"/>
  <c r="F195" i="4"/>
  <c r="G195" i="4" s="1"/>
  <c r="F1442" i="4"/>
  <c r="G1442" i="4" s="1"/>
  <c r="F1722" i="4"/>
  <c r="G1722" i="4" s="1"/>
  <c r="F731" i="4"/>
  <c r="G731" i="4" s="1"/>
  <c r="G733" i="4" s="1"/>
  <c r="F227" i="4"/>
  <c r="G227" i="4" s="1"/>
  <c r="F1203" i="4"/>
  <c r="G1203" i="4" s="1"/>
  <c r="G1207" i="4" s="1"/>
  <c r="F1584" i="4"/>
  <c r="G1584" i="4" s="1"/>
  <c r="F1087" i="4"/>
  <c r="G1087" i="4" s="1"/>
  <c r="F739" i="4"/>
  <c r="G739" i="4" s="1"/>
  <c r="F226" i="4"/>
  <c r="G226" i="4" s="1"/>
  <c r="F228" i="4"/>
  <c r="G228" i="4" s="1"/>
  <c r="F131" i="4"/>
  <c r="G131" i="4" s="1"/>
  <c r="F197" i="4"/>
  <c r="G197" i="4" s="1"/>
  <c r="F369" i="4"/>
  <c r="G369" i="4" s="1"/>
  <c r="F1615" i="4"/>
  <c r="G1615" i="4" s="1"/>
  <c r="F462" i="4"/>
  <c r="G462" i="4" s="1"/>
  <c r="E466" i="4" s="1"/>
  <c r="G466" i="4" s="1"/>
  <c r="F622" i="4"/>
  <c r="G622" i="4" s="1"/>
  <c r="E629" i="4" s="1"/>
  <c r="G629" i="4" s="1"/>
  <c r="F204" i="4"/>
  <c r="G204" i="4" s="1"/>
  <c r="F205" i="4"/>
  <c r="G205" i="4" s="1"/>
  <c r="F114" i="4"/>
  <c r="G114" i="4"/>
  <c r="F208" i="4"/>
  <c r="G208" i="4" s="1"/>
  <c r="F334" i="4"/>
  <c r="G334" i="4" s="1"/>
  <c r="F1472" i="4"/>
  <c r="G1472" i="4" s="1"/>
  <c r="G38" i="2"/>
  <c r="F193" i="4"/>
  <c r="G193" i="4" s="1"/>
  <c r="F229" i="4"/>
  <c r="G229" i="4" s="1"/>
  <c r="F186" i="4"/>
  <c r="G186" i="4"/>
  <c r="F230" i="4"/>
  <c r="G230" i="4"/>
  <c r="F1624" i="4"/>
  <c r="G1624" i="4"/>
  <c r="F1666" i="4"/>
  <c r="G1666" i="4"/>
  <c r="F237" i="4"/>
  <c r="G237" i="4" s="1"/>
  <c r="F240" i="4"/>
  <c r="G240" i="4" s="1"/>
  <c r="F175" i="4"/>
  <c r="G175" i="4" s="1"/>
  <c r="F241" i="4"/>
  <c r="G241" i="4" s="1"/>
  <c r="F1489" i="4"/>
  <c r="G1489" i="4" s="1"/>
  <c r="E1818" i="4"/>
  <c r="F1818" i="4" s="1"/>
  <c r="G1818" i="4" s="1"/>
  <c r="E1819" i="4"/>
  <c r="G1819" i="4" s="1"/>
  <c r="E1820" i="4"/>
  <c r="G1820" i="4" s="1"/>
  <c r="G1821" i="4" s="1"/>
  <c r="F585" i="4"/>
  <c r="G585" i="4"/>
  <c r="G586" i="4" s="1"/>
  <c r="F215" i="4"/>
  <c r="G215" i="4" s="1"/>
  <c r="F216" i="4"/>
  <c r="G216" i="4" s="1"/>
  <c r="F164" i="4"/>
  <c r="G164" i="4" s="1"/>
  <c r="F219" i="4"/>
  <c r="G219" i="4" s="1"/>
  <c r="F361" i="4"/>
  <c r="G361" i="4" s="1"/>
  <c r="F1632" i="4"/>
  <c r="G1632" i="4" s="1"/>
  <c r="F738" i="4"/>
  <c r="G738" i="4" s="1"/>
  <c r="F207" i="4"/>
  <c r="G207" i="4" s="1"/>
  <c r="F217" i="4"/>
  <c r="G217" i="4" s="1"/>
  <c r="F251" i="4"/>
  <c r="G251" i="4" s="1"/>
  <c r="F1481" i="4"/>
  <c r="G1481" i="4" s="1"/>
  <c r="F196" i="4"/>
  <c r="G196" i="4" s="1"/>
  <c r="F218" i="4"/>
  <c r="G218" i="4" s="1"/>
  <c r="F913" i="4"/>
  <c r="G913" i="4" s="1"/>
  <c r="F1008" i="4"/>
  <c r="G1008" i="4" s="1"/>
  <c r="F1150" i="4"/>
  <c r="G1150" i="4" s="1"/>
  <c r="G1152" i="4" s="1"/>
  <c r="F1071" i="4"/>
  <c r="G1071" i="4" s="1"/>
  <c r="F1771" i="4"/>
  <c r="G1771" i="4" s="1"/>
  <c r="F150" i="4"/>
  <c r="G150" i="4" s="1"/>
  <c r="F239" i="4"/>
  <c r="G239" i="4" s="1"/>
  <c r="F1714" i="4"/>
  <c r="G1714" i="4" s="1"/>
  <c r="F1144" i="4"/>
  <c r="G1144" i="4"/>
  <c r="G1146" i="4" s="1"/>
  <c r="F1080" i="4"/>
  <c r="G1080" i="4"/>
  <c r="F1797" i="4"/>
  <c r="G1797" i="4"/>
  <c r="G850" i="4"/>
  <c r="F769" i="4"/>
  <c r="G769" i="4" s="1"/>
  <c r="F194" i="4"/>
  <c r="G194" i="4" s="1"/>
  <c r="F238" i="4"/>
  <c r="G238" i="4" s="1"/>
  <c r="F1000" i="4"/>
  <c r="G1000" i="4" s="1"/>
  <c r="F1731" i="4"/>
  <c r="G1731" i="4" s="1"/>
  <c r="F1131" i="4"/>
  <c r="G1131" i="4" s="1"/>
  <c r="G1133" i="4" s="1"/>
  <c r="F921" i="4"/>
  <c r="G921" i="4" s="1"/>
  <c r="F1780" i="4"/>
  <c r="G1780" i="4" s="1"/>
  <c r="G899" i="4"/>
  <c r="F818" i="4"/>
  <c r="G818" i="4" s="1"/>
  <c r="F1459" i="4"/>
  <c r="G1459" i="4" s="1"/>
  <c r="F737" i="4"/>
  <c r="G737" i="4" s="1"/>
  <c r="F206" i="4"/>
  <c r="G206" i="4" s="1"/>
  <c r="F1575" i="4"/>
  <c r="G1575" i="4" s="1"/>
  <c r="F1054" i="4"/>
  <c r="G1054" i="4" s="1"/>
  <c r="F1789" i="4"/>
  <c r="G1789" i="4" s="1"/>
  <c r="G121" i="4"/>
  <c r="G120" i="4"/>
  <c r="G1565" i="4"/>
  <c r="G277" i="4"/>
  <c r="G489" i="4"/>
  <c r="G149" i="4"/>
  <c r="G259" i="4"/>
  <c r="G1566" i="4"/>
  <c r="G278" i="4"/>
  <c r="G267" i="4"/>
  <c r="G311" i="4"/>
  <c r="G140" i="4"/>
  <c r="F308" i="4"/>
  <c r="G308" i="4" s="1"/>
  <c r="F1030" i="4"/>
  <c r="G1030" i="4" s="1"/>
  <c r="F1602" i="4"/>
  <c r="G1602" i="4" s="1"/>
  <c r="F319" i="4"/>
  <c r="G319" i="4" s="1"/>
  <c r="F1041" i="4"/>
  <c r="G1041" i="4" s="1"/>
  <c r="F1591" i="4"/>
  <c r="G1591" i="4" s="1"/>
  <c r="F297" i="4"/>
  <c r="G297" i="4" s="1"/>
  <c r="F1758" i="4"/>
  <c r="G1758" i="4" s="1"/>
  <c r="F141" i="4"/>
  <c r="G141" i="4" s="1"/>
  <c r="F770" i="4"/>
  <c r="G770" i="4" s="1"/>
  <c r="F1044" i="4"/>
  <c r="G1044" i="4" s="1"/>
  <c r="F999" i="4"/>
  <c r="G999" i="4" s="1"/>
  <c r="F1033" i="4"/>
  <c r="G1033" i="4" s="1"/>
  <c r="F1462" i="4"/>
  <c r="G1462" i="4" s="1"/>
  <c r="F250" i="4"/>
  <c r="G250" i="4" s="1"/>
  <c r="F300" i="4"/>
  <c r="G300" i="4" s="1"/>
  <c r="F174" i="4"/>
  <c r="G174" i="4" s="1"/>
  <c r="F185" i="4"/>
  <c r="G185" i="4" s="1"/>
  <c r="F1007" i="4"/>
  <c r="G1007" i="4" s="1"/>
  <c r="F1730" i="4"/>
  <c r="G1730" i="4" s="1"/>
  <c r="F1713" i="4"/>
  <c r="G1713" i="4" s="1"/>
  <c r="F1750" i="4"/>
  <c r="G1750" i="4" s="1"/>
  <c r="G268" i="4"/>
  <c r="G1739" i="4"/>
  <c r="G152" i="4"/>
  <c r="F269" i="4"/>
  <c r="G269" i="4" s="1"/>
  <c r="F151" i="4"/>
  <c r="G151" i="4" s="1"/>
  <c r="F912" i="4"/>
  <c r="G912" i="4" s="1"/>
  <c r="F1451" i="4"/>
  <c r="G1451" i="4" s="1"/>
  <c r="F1605" i="4"/>
  <c r="G1605" i="4" s="1"/>
  <c r="F1441" i="4"/>
  <c r="G1441" i="4" s="1"/>
  <c r="F1594" i="4"/>
  <c r="G1594" i="4" s="1"/>
  <c r="F129" i="4"/>
  <c r="G129" i="4" s="1"/>
  <c r="F184" i="4"/>
  <c r="G184" i="4" s="1"/>
  <c r="F161" i="4"/>
  <c r="G161" i="4" s="1"/>
  <c r="F172" i="4"/>
  <c r="G172" i="4" s="1"/>
  <c r="F183" i="4"/>
  <c r="G183" i="4" s="1"/>
  <c r="F287" i="4"/>
  <c r="G287" i="4" s="1"/>
  <c r="F1721" i="4"/>
  <c r="G1721" i="4" s="1"/>
  <c r="F1574" i="4"/>
  <c r="G1574" i="4" s="1"/>
  <c r="F1729" i="4"/>
  <c r="G1729" i="4" s="1"/>
  <c r="F1761" i="4"/>
  <c r="G1761" i="4" s="1"/>
  <c r="G27" i="2"/>
  <c r="G33" i="2" s="1"/>
  <c r="G60" i="2"/>
  <c r="G65" i="2" s="1"/>
  <c r="F624" i="4"/>
  <c r="G624" i="4" s="1"/>
  <c r="F998" i="4"/>
  <c r="G998" i="4" s="1"/>
  <c r="F128" i="4"/>
  <c r="G128" i="4" s="1"/>
  <c r="F160" i="4"/>
  <c r="G160" i="4" s="1"/>
  <c r="F248" i="4"/>
  <c r="G248" i="4" s="1"/>
  <c r="F1728" i="4"/>
  <c r="G1728" i="4" s="1"/>
  <c r="F1581" i="4"/>
  <c r="G1581" i="4" s="1"/>
  <c r="F1720" i="4"/>
  <c r="G1720" i="4" s="1"/>
  <c r="G890" i="4"/>
  <c r="G895" i="4" s="1"/>
  <c r="F148" i="8" s="1"/>
  <c r="G258" i="4"/>
  <c r="G139" i="4"/>
  <c r="G1738" i="4"/>
  <c r="F112" i="4"/>
  <c r="G112" i="4" s="1"/>
  <c r="G116" i="4" s="1"/>
  <c r="F182" i="4"/>
  <c r="G182" i="4" s="1"/>
  <c r="F171" i="4"/>
  <c r="G171" i="4" s="1"/>
  <c r="F286" i="4"/>
  <c r="G286" i="4" s="1"/>
  <c r="F1573" i="4"/>
  <c r="G1573" i="4" s="1"/>
  <c r="F1712" i="4"/>
  <c r="G1712" i="4" s="1"/>
  <c r="E965" i="4"/>
  <c r="G965" i="4" s="1"/>
  <c r="F418" i="4"/>
  <c r="G418" i="4" s="1"/>
  <c r="E422" i="4" s="1"/>
  <c r="G422" i="4" s="1"/>
  <c r="F451" i="4"/>
  <c r="G451" i="4" s="1"/>
  <c r="E455" i="4" s="1"/>
  <c r="G455" i="4" s="1"/>
  <c r="E7" i="6"/>
  <c r="C8" i="6"/>
  <c r="F2" i="6"/>
  <c r="D7" i="6"/>
  <c r="B15" i="6"/>
  <c r="E966" i="4"/>
  <c r="G966" i="4" s="1"/>
  <c r="E803" i="4"/>
  <c r="G803" i="4" s="1"/>
  <c r="G804" i="4" s="1"/>
  <c r="F350" i="8" s="1"/>
  <c r="E1113" i="4"/>
  <c r="G1113" i="4" s="1"/>
  <c r="E1112" i="4"/>
  <c r="G1112" i="4" s="1"/>
  <c r="E1114" i="4"/>
  <c r="G1114" i="4" s="1"/>
  <c r="E543" i="4"/>
  <c r="G543" i="4" s="1"/>
  <c r="G546" i="4" s="1"/>
  <c r="G496" i="4"/>
  <c r="G904" i="4"/>
  <c r="F149" i="8" s="1"/>
  <c r="G30" i="4"/>
  <c r="F25" i="8" s="1"/>
  <c r="G30" i="8" s="1"/>
  <c r="G1370" i="4"/>
  <c r="G693" i="4"/>
  <c r="E645" i="4"/>
  <c r="G645" i="4" s="1"/>
  <c r="G646" i="4" s="1"/>
  <c r="G44" i="2"/>
  <c r="E321" i="4" s="1"/>
  <c r="G321" i="4" s="1"/>
  <c r="G22" i="2"/>
  <c r="E1440" i="4" s="1"/>
  <c r="G1440" i="4" s="1"/>
  <c r="G11" i="2"/>
  <c r="E320" i="4" s="1"/>
  <c r="G320" i="4" s="1"/>
  <c r="G55" i="2"/>
  <c r="F339" i="8" l="1"/>
  <c r="G341" i="8" s="1"/>
  <c r="F119" i="8"/>
  <c r="F125" i="8"/>
  <c r="F344" i="8"/>
  <c r="G1587" i="4"/>
  <c r="F321" i="8"/>
  <c r="G324" i="8" s="1"/>
  <c r="F105" i="8"/>
  <c r="G110" i="8" s="1"/>
  <c r="F138" i="8"/>
  <c r="F94" i="8"/>
  <c r="G96" i="8" s="1"/>
  <c r="F311" i="8"/>
  <c r="G312" i="8" s="1"/>
  <c r="F250" i="8"/>
  <c r="F183" i="8"/>
  <c r="F40" i="8"/>
  <c r="F185" i="8"/>
  <c r="F329" i="8"/>
  <c r="F113" i="8"/>
  <c r="G117" i="8" s="1"/>
  <c r="F327" i="8"/>
  <c r="G330" i="8" s="1"/>
  <c r="F140" i="8"/>
  <c r="F347" i="8"/>
  <c r="F128" i="8"/>
  <c r="F19" i="6"/>
  <c r="F20" i="6" s="1"/>
  <c r="F22" i="6" s="1"/>
  <c r="A3" i="6"/>
  <c r="G233" i="4"/>
  <c r="E819" i="4"/>
  <c r="G819" i="4" s="1"/>
  <c r="G820" i="4" s="1"/>
  <c r="G200" i="4"/>
  <c r="G222" i="4"/>
  <c r="G244" i="4"/>
  <c r="G741" i="4"/>
  <c r="G631" i="4"/>
  <c r="G1743" i="4"/>
  <c r="G124" i="4"/>
  <c r="F41" i="8" s="1"/>
  <c r="G211" i="4"/>
  <c r="G326" i="4"/>
  <c r="E1668" i="4"/>
  <c r="E1669" i="4"/>
  <c r="G1669" i="4" s="1"/>
  <c r="A4" i="6"/>
  <c r="G156" i="4"/>
  <c r="G263" i="4"/>
  <c r="G1569" i="4"/>
  <c r="G282" i="4"/>
  <c r="G969" i="4"/>
  <c r="A9" i="6"/>
  <c r="G1384" i="4"/>
  <c r="G1371" i="4"/>
  <c r="G273" i="4"/>
  <c r="G1444" i="4"/>
  <c r="G1716" i="4"/>
  <c r="G291" i="4"/>
  <c r="G189" i="4"/>
  <c r="G145" i="4"/>
  <c r="G254" i="4"/>
  <c r="A6" i="6"/>
  <c r="G1577" i="4"/>
  <c r="G178" i="4"/>
  <c r="A7" i="6"/>
  <c r="G1724" i="4"/>
  <c r="G1734" i="4"/>
  <c r="G167" i="4"/>
  <c r="G134" i="4"/>
  <c r="G1002" i="4"/>
  <c r="E1024" i="4"/>
  <c r="G1024" i="4" s="1"/>
  <c r="G1026" i="4" s="1"/>
  <c r="F167" i="8" s="1"/>
  <c r="E1006" i="4"/>
  <c r="G1006" i="4" s="1"/>
  <c r="G1011" i="4" s="1"/>
  <c r="E1770" i="4"/>
  <c r="G1770" i="4" s="1"/>
  <c r="G1774" i="4" s="1"/>
  <c r="E1779" i="4"/>
  <c r="G1779" i="4" s="1"/>
  <c r="G1783" i="4" s="1"/>
  <c r="E1796" i="4"/>
  <c r="G1796" i="4" s="1"/>
  <c r="G1799" i="4" s="1"/>
  <c r="E1788" i="4"/>
  <c r="G1788" i="4" s="1"/>
  <c r="G1791" i="4" s="1"/>
  <c r="E1631" i="4"/>
  <c r="G1631" i="4" s="1"/>
  <c r="G1634" i="4" s="1"/>
  <c r="E1614" i="4"/>
  <c r="G1614" i="4" s="1"/>
  <c r="G1618" i="4" s="1"/>
  <c r="E1623" i="4"/>
  <c r="G1623" i="4" s="1"/>
  <c r="G1626" i="4" s="1"/>
  <c r="E1480" i="4"/>
  <c r="G1480" i="4" s="1"/>
  <c r="G1483" i="4" s="1"/>
  <c r="E1488" i="4"/>
  <c r="G1488" i="4" s="1"/>
  <c r="G1491" i="4" s="1"/>
  <c r="E1471" i="4"/>
  <c r="G1471" i="4" s="1"/>
  <c r="G1475" i="4" s="1"/>
  <c r="E461" i="4"/>
  <c r="G461" i="4" s="1"/>
  <c r="G468" i="4" s="1"/>
  <c r="E439" i="4"/>
  <c r="G439" i="4" s="1"/>
  <c r="G446" i="4" s="1"/>
  <c r="E428" i="4"/>
  <c r="G428" i="4" s="1"/>
  <c r="G435" i="4" s="1"/>
  <c r="E1759" i="4"/>
  <c r="G1759" i="4" s="1"/>
  <c r="E1748" i="4"/>
  <c r="G1748" i="4" s="1"/>
  <c r="E298" i="4"/>
  <c r="G298" i="4" s="1"/>
  <c r="E1592" i="4"/>
  <c r="G1592" i="4" s="1"/>
  <c r="E1449" i="4"/>
  <c r="G1449" i="4" s="1"/>
  <c r="E1603" i="4"/>
  <c r="G1603" i="4" s="1"/>
  <c r="E1460" i="4"/>
  <c r="G1460" i="4" s="1"/>
  <c r="E392" i="4"/>
  <c r="G392" i="4" s="1"/>
  <c r="E396" i="4" s="1"/>
  <c r="G396" i="4" s="1"/>
  <c r="G397" i="4" s="1"/>
  <c r="E1760" i="4"/>
  <c r="G1760" i="4" s="1"/>
  <c r="E1749" i="4"/>
  <c r="G1749" i="4" s="1"/>
  <c r="E299" i="4"/>
  <c r="G299" i="4" s="1"/>
  <c r="E1604" i="4"/>
  <c r="G1604" i="4" s="1"/>
  <c r="E1461" i="4"/>
  <c r="G1461" i="4" s="1"/>
  <c r="E1593" i="4"/>
  <c r="G1593" i="4" s="1"/>
  <c r="E1450" i="4"/>
  <c r="G1450" i="4" s="1"/>
  <c r="G1115" i="4"/>
  <c r="F23" i="6"/>
  <c r="F24" i="6" s="1"/>
  <c r="D4" i="6"/>
  <c r="B11" i="6"/>
  <c r="B3" i="6"/>
  <c r="B2" i="6"/>
  <c r="A5" i="6"/>
  <c r="E510" i="4"/>
  <c r="G510" i="4" s="1"/>
  <c r="G513" i="4" s="1"/>
  <c r="E502" i="4"/>
  <c r="G502" i="4" s="1"/>
  <c r="G506" i="4" s="1"/>
  <c r="E1015" i="4"/>
  <c r="G1015" i="4" s="1"/>
  <c r="G1020" i="4" s="1"/>
  <c r="F166" i="8" s="1"/>
  <c r="E1079" i="4"/>
  <c r="G1079" i="4" s="1"/>
  <c r="G1082" i="4" s="1"/>
  <c r="F173" i="8" s="1"/>
  <c r="E1053" i="4"/>
  <c r="G1053" i="4" s="1"/>
  <c r="G1056" i="4" s="1"/>
  <c r="F170" i="8" s="1"/>
  <c r="E920" i="4"/>
  <c r="G920" i="4" s="1"/>
  <c r="G924" i="4" s="1"/>
  <c r="F151" i="8" s="1"/>
  <c r="E1061" i="4"/>
  <c r="G1061" i="4" s="1"/>
  <c r="G1065" i="4" s="1"/>
  <c r="F171" i="8" s="1"/>
  <c r="E1070" i="4"/>
  <c r="G1070" i="4" s="1"/>
  <c r="G1074" i="4" s="1"/>
  <c r="E936" i="4"/>
  <c r="G936" i="4" s="1"/>
  <c r="G939" i="4" s="1"/>
  <c r="F153" i="8" s="1"/>
  <c r="E909" i="4"/>
  <c r="G909" i="4" s="1"/>
  <c r="E884" i="4"/>
  <c r="G884" i="4" s="1"/>
  <c r="G886" i="4" s="1"/>
  <c r="F147" i="8" s="1"/>
  <c r="E1031" i="4"/>
  <c r="G1031" i="4" s="1"/>
  <c r="E1042" i="4"/>
  <c r="G1042" i="4" s="1"/>
  <c r="E928" i="4"/>
  <c r="G928" i="4" s="1"/>
  <c r="G931" i="4" s="1"/>
  <c r="F152" i="8" s="1"/>
  <c r="E1032" i="4"/>
  <c r="G1032" i="4" s="1"/>
  <c r="E1043" i="4"/>
  <c r="G1043" i="4" s="1"/>
  <c r="E1086" i="4"/>
  <c r="G1086" i="4" s="1"/>
  <c r="E943" i="4"/>
  <c r="G943" i="4" s="1"/>
  <c r="G946" i="4" s="1"/>
  <c r="F154" i="8" s="1"/>
  <c r="E910" i="4"/>
  <c r="G910" i="4" s="1"/>
  <c r="E771" i="4"/>
  <c r="G771" i="4" s="1"/>
  <c r="E759" i="4"/>
  <c r="G759" i="4" s="1"/>
  <c r="E333" i="4"/>
  <c r="G333" i="4" s="1"/>
  <c r="G337" i="4" s="1"/>
  <c r="E342" i="4"/>
  <c r="G342" i="4" s="1"/>
  <c r="G346" i="4" s="1"/>
  <c r="E351" i="4"/>
  <c r="G351" i="4" s="1"/>
  <c r="G355" i="4" s="1"/>
  <c r="E360" i="4"/>
  <c r="G360" i="4" s="1"/>
  <c r="G363" i="4" s="1"/>
  <c r="E376" i="4"/>
  <c r="G376" i="4" s="1"/>
  <c r="G379" i="4" s="1"/>
  <c r="E368" i="4"/>
  <c r="G368" i="4" s="1"/>
  <c r="G371" i="4" s="1"/>
  <c r="G408" i="4"/>
  <c r="G413" i="4" s="1"/>
  <c r="F83" i="8" s="1"/>
  <c r="E450" i="4"/>
  <c r="G450" i="4" s="1"/>
  <c r="G457" i="4" s="1"/>
  <c r="E417" i="4"/>
  <c r="G417" i="4" s="1"/>
  <c r="G424" i="4" s="1"/>
  <c r="E768" i="4"/>
  <c r="G768" i="4" s="1"/>
  <c r="E756" i="4"/>
  <c r="G756" i="4" s="1"/>
  <c r="E309" i="4"/>
  <c r="G309" i="4" s="1"/>
  <c r="E310" i="4"/>
  <c r="G310" i="4" s="1"/>
  <c r="G188" i="8" l="1"/>
  <c r="F177" i="8"/>
  <c r="E8" i="6"/>
  <c r="F120" i="8"/>
  <c r="F178" i="8"/>
  <c r="F214" i="8"/>
  <c r="G221" i="8" s="1"/>
  <c r="G122" i="8"/>
  <c r="F137" i="8"/>
  <c r="F304" i="8"/>
  <c r="F84" i="8"/>
  <c r="F314" i="8"/>
  <c r="F98" i="8"/>
  <c r="F300" i="8"/>
  <c r="F79" i="8"/>
  <c r="F305" i="8"/>
  <c r="F85" i="8"/>
  <c r="F231" i="8"/>
  <c r="F255" i="8"/>
  <c r="F274" i="8"/>
  <c r="F43" i="8"/>
  <c r="F281" i="8"/>
  <c r="F248" i="8"/>
  <c r="F69" i="8"/>
  <c r="F129" i="8"/>
  <c r="F348" i="8"/>
  <c r="G351" i="8" s="1"/>
  <c r="F279" i="8"/>
  <c r="F57" i="8"/>
  <c r="F58" i="8"/>
  <c r="F298" i="8"/>
  <c r="F77" i="8"/>
  <c r="F297" i="8"/>
  <c r="F76" i="8"/>
  <c r="F229" i="8"/>
  <c r="F253" i="8"/>
  <c r="F164" i="8"/>
  <c r="F210" i="8"/>
  <c r="F365" i="8"/>
  <c r="F287" i="8"/>
  <c r="F63" i="8"/>
  <c r="F335" i="8"/>
  <c r="G336" i="8" s="1"/>
  <c r="F72" i="8"/>
  <c r="F293" i="8"/>
  <c r="F294" i="8"/>
  <c r="F73" i="8"/>
  <c r="F74" i="8"/>
  <c r="F295" i="8"/>
  <c r="F172" i="8"/>
  <c r="F88" i="8"/>
  <c r="F308" i="8"/>
  <c r="F254" i="8"/>
  <c r="F249" i="8"/>
  <c r="F277" i="8"/>
  <c r="F54" i="8"/>
  <c r="F284" i="8"/>
  <c r="F59" i="8"/>
  <c r="F282" i="8"/>
  <c r="F55" i="8"/>
  <c r="F60" i="8"/>
  <c r="F87" i="8"/>
  <c r="F307" i="8"/>
  <c r="F75" i="8"/>
  <c r="F296" i="8"/>
  <c r="F315" i="8"/>
  <c r="F99" i="8"/>
  <c r="F306" i="8"/>
  <c r="F86" i="8"/>
  <c r="G92" i="8" s="1"/>
  <c r="F230" i="8"/>
  <c r="F165" i="8"/>
  <c r="F50" i="8"/>
  <c r="F47" i="8"/>
  <c r="F275" i="8"/>
  <c r="F45" i="8"/>
  <c r="F226" i="8"/>
  <c r="F52" i="8"/>
  <c r="F278" i="8"/>
  <c r="F53" i="8"/>
  <c r="F285" i="8"/>
  <c r="D2" i="6"/>
  <c r="D3" i="6"/>
  <c r="F1668" i="4"/>
  <c r="G1668" i="4" s="1"/>
  <c r="B8" i="6"/>
  <c r="E1376" i="4"/>
  <c r="G1376" i="4" s="1"/>
  <c r="G1377" i="4" s="1"/>
  <c r="B4" i="6"/>
  <c r="E4" i="6"/>
  <c r="C3" i="6"/>
  <c r="B10" i="6"/>
  <c r="A8" i="6"/>
  <c r="A10" i="6"/>
  <c r="B12" i="6"/>
  <c r="G1609" i="4"/>
  <c r="G1598" i="4"/>
  <c r="G1754" i="4"/>
  <c r="G1466" i="4"/>
  <c r="G1455" i="4"/>
  <c r="G1765" i="4"/>
  <c r="J4" i="6"/>
  <c r="G1090" i="4"/>
  <c r="G1048" i="4"/>
  <c r="F169" i="8" s="1"/>
  <c r="G1037" i="4"/>
  <c r="F168" i="8" s="1"/>
  <c r="G915" i="4"/>
  <c r="F150" i="8" s="1"/>
  <c r="G159" i="8" s="1"/>
  <c r="G774" i="4"/>
  <c r="F132" i="8" s="1"/>
  <c r="E795" i="4"/>
  <c r="E518" i="4"/>
  <c r="G518" i="4" s="1"/>
  <c r="G304" i="4"/>
  <c r="G315" i="4"/>
  <c r="G763" i="4"/>
  <c r="F131" i="8" s="1"/>
  <c r="E519" i="4"/>
  <c r="G519" i="4" s="1"/>
  <c r="F232" i="8" l="1"/>
  <c r="F256" i="8"/>
  <c r="F176" i="8"/>
  <c r="F174" i="8"/>
  <c r="F228" i="8"/>
  <c r="F61" i="8"/>
  <c r="G309" i="8"/>
  <c r="F227" i="8"/>
  <c r="F252" i="8"/>
  <c r="F211" i="8"/>
  <c r="F366" i="8"/>
  <c r="G367" i="8" s="1"/>
  <c r="F280" i="8"/>
  <c r="F283" i="8"/>
  <c r="G212" i="8"/>
  <c r="F67" i="8"/>
  <c r="F68" i="8"/>
  <c r="F290" i="8"/>
  <c r="G291" i="8" s="1"/>
  <c r="F251" i="8"/>
  <c r="F276" i="8"/>
  <c r="F46" i="8"/>
  <c r="G81" i="8"/>
  <c r="G302" i="8"/>
  <c r="G181" i="8"/>
  <c r="C2" i="6"/>
  <c r="E3" i="6"/>
  <c r="B13" i="6"/>
  <c r="E1670" i="4"/>
  <c r="G1670" i="4" s="1"/>
  <c r="G1671" i="4" s="1"/>
  <c r="B7" i="6"/>
  <c r="B6" i="6"/>
  <c r="B5" i="6"/>
  <c r="K4" i="6"/>
  <c r="L4" i="6" s="1"/>
  <c r="A2" i="6"/>
  <c r="E517" i="4"/>
  <c r="G517" i="4" s="1"/>
  <c r="G520" i="4" s="1"/>
  <c r="E794" i="4"/>
  <c r="G794" i="4" s="1"/>
  <c r="G795" i="4"/>
  <c r="F233" i="8" l="1"/>
  <c r="G236" i="8" s="1"/>
  <c r="F257" i="8"/>
  <c r="F316" i="8"/>
  <c r="G318" i="8" s="1"/>
  <c r="F100" i="8"/>
  <c r="G102" i="8" s="1"/>
  <c r="F286" i="8"/>
  <c r="G288" i="8" s="1"/>
  <c r="F62" i="8"/>
  <c r="F261" i="8"/>
  <c r="G262" i="8" s="1"/>
  <c r="F56" i="8"/>
  <c r="F51" i="8"/>
  <c r="F49" i="8"/>
  <c r="F48" i="8"/>
  <c r="G65" i="8" s="1"/>
  <c r="G70" i="8"/>
  <c r="A11" i="6"/>
  <c r="C6" i="6"/>
  <c r="C5" i="6"/>
  <c r="C9" i="6"/>
  <c r="B9" i="6"/>
  <c r="D6" i="6"/>
  <c r="A19" i="6"/>
  <c r="G797" i="4"/>
  <c r="F135" i="8" s="1"/>
  <c r="G141" i="8" s="1"/>
  <c r="G372" i="8" l="1"/>
  <c r="G381" i="8" s="1"/>
  <c r="D8" i="6"/>
  <c r="C7" i="6"/>
  <c r="E5" i="6"/>
  <c r="E19" i="6" s="1"/>
  <c r="E20" i="6" s="1"/>
  <c r="E22" i="6" s="1"/>
  <c r="E23" i="6" s="1"/>
  <c r="E24" i="6" s="1"/>
  <c r="A20" i="6"/>
  <c r="A22" i="6" s="1"/>
  <c r="B14" i="6"/>
  <c r="B19" i="6" s="1"/>
  <c r="B20" i="6" s="1"/>
  <c r="B22" i="6" s="1"/>
  <c r="G379" i="8" l="1"/>
  <c r="G375" i="8"/>
  <c r="G376" i="8"/>
  <c r="G380" i="8"/>
  <c r="G377" i="8"/>
  <c r="G382" i="8"/>
  <c r="G378" i="8"/>
  <c r="G383" i="8"/>
  <c r="D5" i="6"/>
  <c r="D19" i="6" s="1"/>
  <c r="D20" i="6" s="1"/>
  <c r="D22" i="6" s="1"/>
  <c r="C4" i="6"/>
  <c r="B23" i="6"/>
  <c r="B24" i="6" s="1"/>
  <c r="A23" i="6"/>
  <c r="A24" i="6" s="1"/>
  <c r="G385" i="8" l="1"/>
  <c r="G387" i="8" s="1"/>
  <c r="G5" i="6"/>
  <c r="C19" i="6"/>
  <c r="D23" i="6"/>
  <c r="D24" i="6" s="1"/>
  <c r="C20" i="6" l="1"/>
  <c r="C22" i="6" s="1"/>
  <c r="G19" i="6"/>
  <c r="J19" i="6" l="1"/>
  <c r="G20" i="6"/>
  <c r="C23" i="6"/>
  <c r="C24" i="6" s="1"/>
  <c r="G22" i="6"/>
  <c r="I22" i="6" s="1"/>
  <c r="XFD1326" i="4"/>
  <c r="XFD1356" i="4" s="1"/>
  <c r="XFD1361" i="4" l="1"/>
  <c r="XFD1377" i="4" l="1"/>
  <c r="XFD1348" i="4" s="1"/>
  <c r="XFD1370" i="4"/>
  <c r="XFD1384" i="4"/>
</calcChain>
</file>

<file path=xl/sharedStrings.xml><?xml version="1.0" encoding="utf-8"?>
<sst xmlns="http://schemas.openxmlformats.org/spreadsheetml/2006/main" count="6897" uniqueCount="2015">
  <si>
    <t>No.</t>
  </si>
  <si>
    <t>DESCRIPCION</t>
  </si>
  <si>
    <t>CANT.</t>
  </si>
  <si>
    <t>UND</t>
  </si>
  <si>
    <t>P.U</t>
  </si>
  <si>
    <t>VALOR</t>
  </si>
  <si>
    <t>TOTAL</t>
  </si>
  <si>
    <t>TRABAJOS GENERALES</t>
  </si>
  <si>
    <t>Replanteo general</t>
  </si>
  <si>
    <t>M2</t>
  </si>
  <si>
    <t>Control topografico</t>
  </si>
  <si>
    <t>Estudio de suelo (pago contra factura)</t>
  </si>
  <si>
    <t>PA</t>
  </si>
  <si>
    <t>Letrero en obra</t>
  </si>
  <si>
    <t>ML</t>
  </si>
  <si>
    <t>M3N</t>
  </si>
  <si>
    <t xml:space="preserve">Relleno de reposición </t>
  </si>
  <si>
    <t>M3S</t>
  </si>
  <si>
    <t>Bote material sobrante inservible de excavación, con carguío a mano + f. esponjamiento</t>
  </si>
  <si>
    <t>M3E</t>
  </si>
  <si>
    <t>M3</t>
  </si>
  <si>
    <t>m2</t>
  </si>
  <si>
    <t>MUROS DE BLOQUES</t>
  </si>
  <si>
    <t>Muro 0.10 SNP Ø3/8" @0.60 m</t>
  </si>
  <si>
    <t>TERMINACION DE SUPERFICIE</t>
  </si>
  <si>
    <t>Pañete de techo</t>
  </si>
  <si>
    <t>Cantos</t>
  </si>
  <si>
    <t>TERMINACION DE PISOS</t>
  </si>
  <si>
    <t>PL</t>
  </si>
  <si>
    <t>PORTAJE</t>
  </si>
  <si>
    <t>P2</t>
  </si>
  <si>
    <t>UD</t>
  </si>
  <si>
    <t>VENTANAS</t>
  </si>
  <si>
    <t>ud</t>
  </si>
  <si>
    <t>PINTURA</t>
  </si>
  <si>
    <t>Base</t>
  </si>
  <si>
    <t>Acrílica  Blanco, en muros exteriores</t>
  </si>
  <si>
    <t>INSTALACIONES SANITARIAS</t>
  </si>
  <si>
    <t>Suministro y Colocacion de Inodoros Sadosa Standard, Taino blanco (incluye mano de obra)</t>
  </si>
  <si>
    <t>Ud</t>
  </si>
  <si>
    <t>Uds</t>
  </si>
  <si>
    <t>Desagüe de Piso de 2", (incluye mano de obra)</t>
  </si>
  <si>
    <t>Camara Séptica sencilla  (3.40x3.40x2.50)m, (incluye mano de obra)</t>
  </si>
  <si>
    <t>ml</t>
  </si>
  <si>
    <t>Filtrante de 10" encamisado en 8"</t>
  </si>
  <si>
    <t>PI</t>
  </si>
  <si>
    <t>Tinaco 500 gls</t>
  </si>
  <si>
    <t>%</t>
  </si>
  <si>
    <t xml:space="preserve">Excavación </t>
  </si>
  <si>
    <t>Bote de Material</t>
  </si>
  <si>
    <t>Hormigón de nivelación</t>
  </si>
  <si>
    <t xml:space="preserve">Muro de bloques De 0.20 con Ø3/8" a 0.40 y todos los hoyos llenos </t>
  </si>
  <si>
    <t>Pañete de muros</t>
  </si>
  <si>
    <t>Fino losa de techo</t>
  </si>
  <si>
    <t>Cantos en hueco de tapa</t>
  </si>
  <si>
    <t>Zabaleta en Fondo y techo</t>
  </si>
  <si>
    <t>P.a</t>
  </si>
  <si>
    <t>Tapa de cisterna de acero inoxidable (0.60 x 0.60)</t>
  </si>
  <si>
    <t>Instalación de plomería (materiales y mano de obra)</t>
  </si>
  <si>
    <t>Bote</t>
  </si>
  <si>
    <t>torta de piso e=0.10 H. S Frotado</t>
  </si>
  <si>
    <t>Fraguache en Losa</t>
  </si>
  <si>
    <t>Pañete muros</t>
  </si>
  <si>
    <t>Pañete Techo</t>
  </si>
  <si>
    <t>Mochetas</t>
  </si>
  <si>
    <t>Fino</t>
  </si>
  <si>
    <t>Impermeabilizante 3mm lona asfáltica</t>
  </si>
  <si>
    <t>Pintura Base</t>
  </si>
  <si>
    <t>Pintura</t>
  </si>
  <si>
    <t>Instalación eléctrica</t>
  </si>
  <si>
    <t>Accesorios (válvula, flota, cheque, etc.)</t>
  </si>
  <si>
    <t>Puerta en Hierro (0.8x 1.90 )</t>
  </si>
  <si>
    <t>Salida luces de pared en interior, incluye mano de obra</t>
  </si>
  <si>
    <t>Materiales eléctricos (Tuberías y Piezas)</t>
  </si>
  <si>
    <t>Pa</t>
  </si>
  <si>
    <t xml:space="preserve">Mano de obra general </t>
  </si>
  <si>
    <t>TERMINACION DE TECHO</t>
  </si>
  <si>
    <t>Impermeabilizante en Techo Plano 3mm en lona asfáltica</t>
  </si>
  <si>
    <t>Ml</t>
  </si>
  <si>
    <t>Pañete exterior</t>
  </si>
  <si>
    <t>Mano de Obra</t>
  </si>
  <si>
    <t>Relleno de reposición</t>
  </si>
  <si>
    <t>Fraguache</t>
  </si>
  <si>
    <t>MISCELANEOS</t>
  </si>
  <si>
    <t>JARDENIERAS</t>
  </si>
  <si>
    <t xml:space="preserve">Excavación zapata de muro de 4" (0.30*0.35)M, </t>
  </si>
  <si>
    <t>Muro 0.10 BNP Ø3/8" @0.60 m</t>
  </si>
  <si>
    <t>Suministro y colocacion de Tierra negra e=0.10 m</t>
  </si>
  <si>
    <t>Suministro y colocacion de grama</t>
  </si>
  <si>
    <t>Señalización Horizontal</t>
  </si>
  <si>
    <t>Suministro y colocacion de paragomas de concreto</t>
  </si>
  <si>
    <t>COSTOS INDIRECTOS:</t>
  </si>
  <si>
    <t>Responsabilidad y Dirección Técnica</t>
  </si>
  <si>
    <t>Gastos Administrativos</t>
  </si>
  <si>
    <t>Seguros y Fianzas</t>
  </si>
  <si>
    <t>CODIA</t>
  </si>
  <si>
    <t>Transporte</t>
  </si>
  <si>
    <t>Hormigón 1:3:5</t>
  </si>
  <si>
    <t>Cantidad</t>
  </si>
  <si>
    <t>Costo</t>
  </si>
  <si>
    <t>Itbis</t>
  </si>
  <si>
    <t>Total</t>
  </si>
  <si>
    <t>Materiales</t>
  </si>
  <si>
    <t>Cemento Gris</t>
  </si>
  <si>
    <t>Fds</t>
  </si>
  <si>
    <t>Arena Lavada</t>
  </si>
  <si>
    <t>m3</t>
  </si>
  <si>
    <t xml:space="preserve">Grava 3/4" </t>
  </si>
  <si>
    <t>Agua</t>
  </si>
  <si>
    <t>Gl</t>
  </si>
  <si>
    <t>Ligado y Vaciado a Mano</t>
  </si>
  <si>
    <t>Total del análisis</t>
  </si>
  <si>
    <t>Mts2</t>
  </si>
  <si>
    <t>Hormigón 180 con ligadora</t>
  </si>
  <si>
    <t>Hormigón 210 con ligadora</t>
  </si>
  <si>
    <t>Mortero 1:3</t>
  </si>
  <si>
    <t>Arena Gruesa Itabo</t>
  </si>
  <si>
    <t>Mezclado (Peon)</t>
  </si>
  <si>
    <t>Dia</t>
  </si>
  <si>
    <t>Mortero 1:4 Empañetes</t>
  </si>
  <si>
    <t>Cal Hidratada</t>
  </si>
  <si>
    <t>Arena Fina de Empañete</t>
  </si>
  <si>
    <t>Mortero 1:10 Pisos</t>
  </si>
  <si>
    <t>Arena Gruesa Lavada</t>
  </si>
  <si>
    <t>CODIGO</t>
  </si>
  <si>
    <t>ITBIS</t>
  </si>
  <si>
    <t>PU+ITBIS</t>
  </si>
  <si>
    <t>CEMENTOS</t>
  </si>
  <si>
    <t>Cal Grande hidratada 20 kilos</t>
  </si>
  <si>
    <t>FDA</t>
  </si>
  <si>
    <t>Cemento Blanco Titan 40 kilos</t>
  </si>
  <si>
    <t>Cemento Gris 94 lbs. Tipo Portland</t>
  </si>
  <si>
    <t xml:space="preserve">Mortero para bloques Pega Bloques Antillana 94 lbs. </t>
  </si>
  <si>
    <t xml:space="preserve">Mortero para empañetes Mezcla Antillana 94 lbs. </t>
  </si>
  <si>
    <t>Mortero para cerámicas PegaTod 50 Lbs.</t>
  </si>
  <si>
    <t>Mortero para cerámicas PegaTod Blanco 50 Lbs.</t>
  </si>
  <si>
    <t>Yeso Escayola E-30 55 Lbs.</t>
  </si>
  <si>
    <t>AGREGADOS</t>
  </si>
  <si>
    <t>Arena gruesa Itabo lavada</t>
  </si>
  <si>
    <t>Arena Itabo de mina</t>
  </si>
  <si>
    <t>Arena Fina Pañete azul</t>
  </si>
  <si>
    <t>Arena triturada lavada azul</t>
  </si>
  <si>
    <t>Grava de 3/4"</t>
  </si>
  <si>
    <t>Grava de 1/2"</t>
  </si>
  <si>
    <t>Grava de 3/8"</t>
  </si>
  <si>
    <t>Caliche</t>
  </si>
  <si>
    <t>Granzote grueso</t>
  </si>
  <si>
    <t>Granzote fino o gravillita</t>
  </si>
  <si>
    <t>Cascajo de mina (en mina)</t>
  </si>
  <si>
    <t>Material de base triturado (en mina)</t>
  </si>
  <si>
    <t>Piedra para muro de gaviones (en mina)</t>
  </si>
  <si>
    <t>Tierra Negra</t>
  </si>
  <si>
    <t>Agua para hormigones y morteros</t>
  </si>
  <si>
    <t>GL</t>
  </si>
  <si>
    <t>Camión de agua 1,200GLS</t>
  </si>
  <si>
    <t>TRANPORTE, CARGA Y BOTE MATERIAL</t>
  </si>
  <si>
    <t>Bote y carga a mano en camión 6M3</t>
  </si>
  <si>
    <t>Bote en camión 6M3 (solo bote sin carga manual)</t>
  </si>
  <si>
    <t>Transporte camiones volteo (arranque 0-5Kms) - Solo transporte</t>
  </si>
  <si>
    <t>Transp. camiones volteo por Kms (Min 5kms)-Solo transporte</t>
  </si>
  <si>
    <t>M3xKM</t>
  </si>
  <si>
    <t>Carga de material con equipo (solo carga)</t>
  </si>
  <si>
    <t>ACEROS</t>
  </si>
  <si>
    <t>Acero varilla Grado 40-60 3/8" a 1" x 20 a 30 pies</t>
  </si>
  <si>
    <t>QQ</t>
  </si>
  <si>
    <t>Acero malla electrosoldada D2.3 x D2.3, 10 x 10,Rollo 2.4x40 m.</t>
  </si>
  <si>
    <t>ROLLO</t>
  </si>
  <si>
    <t>Acero malla electrosoldada D2.3 x D2.3, 15 x 15,Rollo 2.4x40 m.</t>
  </si>
  <si>
    <t>Acero malla electrosoldada D2.3 x D2.3, 20 x 20,Rollo 2.4x40 m</t>
  </si>
  <si>
    <t>Acero malla electrosoldada D2.5 x D2.5, 10 x 10,Rollo 2.4x40 m.</t>
  </si>
  <si>
    <t>Acero malla electrosoldada D2.5 x D2.5, 15 x 15,Rollo 2.4x40 m.</t>
  </si>
  <si>
    <t>Acero malla electrosoldada D2.5 x D2.5, 20 x 20,Rollo 2.4x40 m.</t>
  </si>
  <si>
    <t>Acero malla electrosoldada D2.7 x D2.7, 10 x 10,Rollo 2.4x40 m.</t>
  </si>
  <si>
    <t>Acero malla electrosoldada D2.7 x D2.7, 15 x 15,Rollo 2.4x40 m.</t>
  </si>
  <si>
    <t>Acero malla electrosoldada D2.9 x D2.9, 10 x 10,Rollo 2.4x40 m.</t>
  </si>
  <si>
    <t>Acero malla electrosoldada D2.9 x D2.9, 15 x 15,Rollo 2.4x40 m.</t>
  </si>
  <si>
    <t>Acero malla electrosoldada D2.9 x D2.9, 20 x 20,Rollo 2.4x40 m.</t>
  </si>
  <si>
    <t>Alambre Galvanizado Calibre 18 (Varillas)</t>
  </si>
  <si>
    <t>LB</t>
  </si>
  <si>
    <t>Alambre Galvanizado Calibre 14 (Encofrados)</t>
  </si>
  <si>
    <t>Clavos de zinc</t>
  </si>
  <si>
    <t>Clavos Corrientes</t>
  </si>
  <si>
    <t>Clavos de Acero</t>
  </si>
  <si>
    <t>LETREROS DE OBRAS</t>
  </si>
  <si>
    <t>Arte, impresión y colocación vinil para letrero</t>
  </si>
  <si>
    <t>Estructura metálica para letrero obra</t>
  </si>
  <si>
    <t>FUMIGACION DE EXCAVACIONES/FUNDACIONES</t>
  </si>
  <si>
    <t>Fumigación general de excavaciones</t>
  </si>
  <si>
    <t>MADERAS Y CARPINTERIA</t>
  </si>
  <si>
    <t>Madera bruta pino americano</t>
  </si>
  <si>
    <t>PT</t>
  </si>
  <si>
    <t>Madera cepillada pino americano</t>
  </si>
  <si>
    <t>Madera bruta pino americano tratado</t>
  </si>
  <si>
    <t>Madera cepillada pino americano tratado</t>
  </si>
  <si>
    <t>Madera bruta pino chileno</t>
  </si>
  <si>
    <t>Madera cepillada pino chileno</t>
  </si>
  <si>
    <t>Madera sintética color Marrón oscuro 150mm x 25mm x 5.8m</t>
  </si>
  <si>
    <t>Madera sintética color Café 145mm x 25mm x 5.8m</t>
  </si>
  <si>
    <t>Madera sintética color Roja  100mm x 17mm x 5.8m</t>
  </si>
  <si>
    <t>Madera sintética color Roble Colourmix  147mm x 25mm x 5.8m</t>
  </si>
  <si>
    <t>Madera sintética color Blanca Colourmix  150mm x 25mm x 5.8m</t>
  </si>
  <si>
    <t>Madera sintética Gris Oscuro Colourmix 147mm x 25mm x 5.8m</t>
  </si>
  <si>
    <t>Madera sintética Deck latitudes - reversible color Cedro  1-1/4" x 6" x 20'</t>
  </si>
  <si>
    <t>Madera sintética Deck latitudes - reversible color  gris  1-1/4" x 6" x 20'</t>
  </si>
  <si>
    <t>Madera sintética Deck latitudes - reversible color Secoya-rojo  1-1/4" x 6" x 20'</t>
  </si>
  <si>
    <t>Madera sintética Deck latitudes - reversible color Nogal   1-1/4" x 6" x 20'</t>
  </si>
  <si>
    <t>Madera sintética Deck Duralife  Teca-Hard wood Golden teak  0.9" x 5.5" x 16'</t>
  </si>
  <si>
    <t>Madera sintética Deck Duralife  Teca-Siesta Starter   0.9" x 5.5" x 16'</t>
  </si>
  <si>
    <t>Madera sintética Deck Duralife  Cedar-Edge  0.9" x 5.5" x 20'</t>
  </si>
  <si>
    <t>Madera sintética Deck Duralife  Spanish Cedar MVP Ranurado  0.9" x 5.5" x 16'</t>
  </si>
  <si>
    <t>Madera sintética Deck Duralife  Spanish Cedar MVP Ranurado  0.9" x 5.5" x 20'</t>
  </si>
  <si>
    <t>Madera sintética Deck Duralife Brazilian Cherry  1/2" x 11-1/2" x 12'</t>
  </si>
  <si>
    <t>Madera sintética Deck Captiva  Cedro  1-1/4" X 6' X 20'</t>
  </si>
  <si>
    <t>Madera sintética Deck Capricorn  Koa 1-1/4" x 6" X 20'</t>
  </si>
  <si>
    <t>Madera sintética Deck Capricorn Arábica 15/16" x 5-7/16" x 16'</t>
  </si>
  <si>
    <t>Madera sintética Deck Capricorn Arábica 15/16" x 5-7/16" x 20'</t>
  </si>
  <si>
    <t>Madera sintética Deck Capricorn Arábica sólida 15/16" x 5-7/16" x 16'</t>
  </si>
  <si>
    <t xml:space="preserve">Clip con tornillos para Madera Sintética </t>
  </si>
  <si>
    <t>Clips con tornillos Stowaway para Madera sintetica</t>
  </si>
  <si>
    <t>Plancha plywood 2 caras 3/4" americana</t>
  </si>
  <si>
    <t>Plancha plywood 1 cara 3/4" americana</t>
  </si>
  <si>
    <t>Plancha plywood 2 caras 3/4" brasil</t>
  </si>
  <si>
    <t>Clavos corriente con cabeza</t>
  </si>
  <si>
    <t>Clavos de acero</t>
  </si>
  <si>
    <t>Soga de Nylon 1/16" a 1"</t>
  </si>
  <si>
    <t>Hilo de Gangorra - Cono</t>
  </si>
  <si>
    <t>Hojas de segueta</t>
  </si>
  <si>
    <t xml:space="preserve">HORMIGON INDUSTRIALES </t>
  </si>
  <si>
    <t>Hormigón 180 Kg/cm2 (incluye bomba y colocación)</t>
  </si>
  <si>
    <t>Hormigón 210 Kg/cm2 (incluye bomba y colocación)</t>
  </si>
  <si>
    <t>Hormigón 240 Kg/cm2 (incluye bomba y colocación)</t>
  </si>
  <si>
    <t>Hormigón 280 Kg/cm2 (incluye bomba y colocación)</t>
  </si>
  <si>
    <t>Hormigón 300 Kg/cm2 (incluye bomba y colocación)</t>
  </si>
  <si>
    <t>Hormigón 350 Kg/cm2 (incluye bomba y colocación)</t>
  </si>
  <si>
    <t>Hormigón 400 Kg/cm2 (incluye bomba y colocación)</t>
  </si>
  <si>
    <t>Hormigón 450 Kg/cm2 (incluye bomba y colocación)</t>
  </si>
  <si>
    <t>Hormigón 500 Kg/cm2 (incluye bomba y colocación)</t>
  </si>
  <si>
    <t>Bombeado y Colocación</t>
  </si>
  <si>
    <t>Instalación Bomba</t>
  </si>
  <si>
    <t>U</t>
  </si>
  <si>
    <t>BLOQUES DE HORMIGON</t>
  </si>
  <si>
    <t>Bloques industrial de 4" x 8" x 16"</t>
  </si>
  <si>
    <t>Bloques industrial de 6" x 8" x 16"</t>
  </si>
  <si>
    <t>Bloques industrial de 8" x 8" x 16"</t>
  </si>
  <si>
    <t>BOVEDILLAS FOAM</t>
  </si>
  <si>
    <t>Bovedillas de Foam 0.50x0.50x0.15m (incluye transp.)</t>
  </si>
  <si>
    <t>Bovedillas de Foam - Cualquier tamaño - Precio por M3</t>
  </si>
  <si>
    <t>PULIDO Y ESTAMPADO CON HELICOPTERO</t>
  </si>
  <si>
    <t>Pulido con helicóptero</t>
  </si>
  <si>
    <t>Estampado - rayado profundo</t>
  </si>
  <si>
    <t>Estampado - rayado con escobillon</t>
  </si>
  <si>
    <t>SEÑALIZACION HORIZONTAL Y VERTICAL EN VIAS Y PARQUEOS - TODO COSTO</t>
  </si>
  <si>
    <t>Paragomas en hormigón, suministro, instalación y pintura</t>
  </si>
  <si>
    <t>Paragomas en hormigón (solo suministro sin pintar)</t>
  </si>
  <si>
    <t>Paragomas de goma, todo costo</t>
  </si>
  <si>
    <t>Pintura de divisiones en parqueos Tipo II en hormigón, todo costo</t>
  </si>
  <si>
    <t>Pintura de divisiones en parqueos Tipo II en asfalto, todo costo</t>
  </si>
  <si>
    <t>Pintura de Flechas de señalización vial, todo costo</t>
  </si>
  <si>
    <t>Pintura de parqueo de incapacitados/embarazadas, todo costo</t>
  </si>
  <si>
    <t>Números de parqueos/aptos en alocubón en pared, todo costo</t>
  </si>
  <si>
    <t>Protectores de goma en columnas de parqueos, todo costo</t>
  </si>
  <si>
    <t>Letreros de altura máxima, todo costo</t>
  </si>
  <si>
    <t>Espejos de entrada y salida parqueos, todo costo</t>
  </si>
  <si>
    <t>Reductor de velocidad tipo policía acostado en goma, todo costo</t>
  </si>
  <si>
    <t>Reductores de velocidad en aluminio tipo calderito, todo costo</t>
  </si>
  <si>
    <t>Delineadores Reflectivos (ojos de gato), todo costo</t>
  </si>
  <si>
    <t>Topes en metal y goma para furgones en rampas de carga, todo costo</t>
  </si>
  <si>
    <t>Paragomas para vehiculos livianos pintados, solo suministro 1.80m x 0.15m</t>
  </si>
  <si>
    <t>Paragomas para vehiculos livianos sin pintar, solo suministro</t>
  </si>
  <si>
    <t>Paragomas para vehiculos pesados pintados, solo suministro 1.80m x 0.20m</t>
  </si>
  <si>
    <t>Paragomas para vehiculos pesados sin pintar, solo suministro</t>
  </si>
  <si>
    <t>Muro New Jersey 2.40m x 0.85m pintado, solo suministro</t>
  </si>
  <si>
    <t>Muro New Jersey 2.40m x 0.85m sin pintar, solo suministro</t>
  </si>
  <si>
    <t>Murete (Divisiones en calles) 1.00m x 0.30m pintado, solo suministro</t>
  </si>
  <si>
    <t>Murete (Divisiones en calles) 1.00m x 0.30m sin pintar, solo suministro</t>
  </si>
  <si>
    <t>Ladrillos de hormigón 0.10m x 0.06m, suministro</t>
  </si>
  <si>
    <t>Pavigrama, suministro</t>
  </si>
  <si>
    <t>COMBUSTIBLES Y ACEITES</t>
  </si>
  <si>
    <t>Gasolina regular</t>
  </si>
  <si>
    <t>Gasolina Premium</t>
  </si>
  <si>
    <t>Gasoil Regular</t>
  </si>
  <si>
    <t>Gasoil Premium</t>
  </si>
  <si>
    <t>Aceite 15W-40</t>
  </si>
  <si>
    <t>QT</t>
  </si>
  <si>
    <t>Aceite 10W-30</t>
  </si>
  <si>
    <t>DIVISAS</t>
  </si>
  <si>
    <t>Dólar US</t>
  </si>
  <si>
    <t>Euro EU</t>
  </si>
  <si>
    <t>TOPOGRAFIA - TODO COSTO</t>
  </si>
  <si>
    <t>Brigada Topográfica con Estación Total - Todo Costo</t>
  </si>
  <si>
    <t>DIA</t>
  </si>
  <si>
    <t>MES</t>
  </si>
  <si>
    <t>EQUIPOS PESADOS - ALQUILER**</t>
  </si>
  <si>
    <t>Compresor Aire IngersollRand 185CFM 2 pistolas (incluye combustible)</t>
  </si>
  <si>
    <t>HR</t>
  </si>
  <si>
    <t>Minicargador BOBCAT 763G o similar</t>
  </si>
  <si>
    <t>Retropala CAT416E o similar</t>
  </si>
  <si>
    <t>Excavadora CAT320D o Similar 20 Ton con Cubo</t>
  </si>
  <si>
    <t>Excavadora CAT330D o Similar 30 Ton con Cubo</t>
  </si>
  <si>
    <t>Excavadora CAT320D o Similar 20 Ton con Martillo</t>
  </si>
  <si>
    <t>Excavadora CAT330D o Similar 30 Ton con Martillo</t>
  </si>
  <si>
    <t>Pala - Cargador Frontal CAT950G</t>
  </si>
  <si>
    <t>Rodillo SD-100D o similar de 10 Tons.</t>
  </si>
  <si>
    <t>Motoniveladora 12H o similar</t>
  </si>
  <si>
    <t>Bulldozer CATD6N o similar</t>
  </si>
  <si>
    <t>Bulldozer CATD8R o similar</t>
  </si>
  <si>
    <t>Camión Grúa Manitex 25 Tons.</t>
  </si>
  <si>
    <t>**Estos precios no incluyen combustibles ni transportes</t>
  </si>
  <si>
    <t>EQUIPOS PESADOS - TRANSPORTE</t>
  </si>
  <si>
    <t>Transporte Bobcat 763G o similar Sto Dgo</t>
  </si>
  <si>
    <t>Transporte Retropala CAT416E o similar Sto Dgo</t>
  </si>
  <si>
    <t>Transporte Excavadora CAT320 o similar Sto Dgo</t>
  </si>
  <si>
    <t>Transporte Excavadora CAT330 o similar Sto Dgo</t>
  </si>
  <si>
    <t>Transporte Pala Frontal CAT950 o similar Sto Dgo</t>
  </si>
  <si>
    <t>Transp. Rodillo SD100D 10 Tons o similar Sto Dgo</t>
  </si>
  <si>
    <t>Transporte Greadar CAT12H o similar Sto Dgo</t>
  </si>
  <si>
    <t>Transporte Bulldozer CATD6N o similar Sto Dgo</t>
  </si>
  <si>
    <t>Transporte Bulldozer CATD8R o similar Sto Dgo</t>
  </si>
  <si>
    <t>EQUIPOS MANUALES</t>
  </si>
  <si>
    <t>Ligadora de hormigón de 2 fundas 2.0Hp - Alquiler</t>
  </si>
  <si>
    <t>Winche elevador hasta 12m - Alquiler</t>
  </si>
  <si>
    <t>ASFALTO - TODO COSTO</t>
  </si>
  <si>
    <t>Riego de imprimación 0.30Gal/M2 con gravilla</t>
  </si>
  <si>
    <t>Riego de adherencia</t>
  </si>
  <si>
    <t>Colocación Carpeta Asfática en Caliente - Todo Costo</t>
  </si>
  <si>
    <t>Transporte equipos asfaltado - Sto. Dgo</t>
  </si>
  <si>
    <t>ASFALTO - SUMINISTRO</t>
  </si>
  <si>
    <t>Hormigón Asfáltico en Caliente en planta</t>
  </si>
  <si>
    <t>TRANSPORTE MATERIALES / ALQUILER CAMIONES</t>
  </si>
  <si>
    <t>Transporte materiales Daihatsu cama corta Sto Dgo</t>
  </si>
  <si>
    <t>Transporte materiales Daihatsu cama larga Sto Dgo</t>
  </si>
  <si>
    <t>Transporte materiales Daihatsu volteo Sto Dgo</t>
  </si>
  <si>
    <t>Alquiler Daihatsu cama corta sin combustible</t>
  </si>
  <si>
    <t>Alquiler Daihatsu cama larga sin combustible</t>
  </si>
  <si>
    <t>Alquiler Daihatsu volteo sin combustible</t>
  </si>
  <si>
    <t>HERRAMIENTAS</t>
  </si>
  <si>
    <t>Carretilla Criolla Reforzada 5P3</t>
  </si>
  <si>
    <t>Pala cuadrada Tramontina</t>
  </si>
  <si>
    <t>Pala Redonda Tramontina</t>
  </si>
  <si>
    <t>Pala de corte con mango Tramontina</t>
  </si>
  <si>
    <t>Pico - Zapapico Truper</t>
  </si>
  <si>
    <t>Pico Doble</t>
  </si>
  <si>
    <t>Mango para Pico-Zapapico</t>
  </si>
  <si>
    <t>Cubo de goma de albañil</t>
  </si>
  <si>
    <t>Cinta Métrica Stanley 8 metros</t>
  </si>
  <si>
    <t>Lona plástica 6 x 8 pies</t>
  </si>
  <si>
    <t>Lona plástica 10 x 12 pies</t>
  </si>
  <si>
    <t>Lona plástica 16x20  pies</t>
  </si>
  <si>
    <t>Lona plástica 18x20  pies</t>
  </si>
  <si>
    <t>Lona plástica 20 x 24 pies</t>
  </si>
  <si>
    <t>Tanques plástico 55 gals. para agua</t>
  </si>
  <si>
    <t>Hoja de segueta</t>
  </si>
  <si>
    <t>IMPERMEABILIZANTES TECHO - TODO COSTO</t>
  </si>
  <si>
    <t xml:space="preserve">Tela asfáltica 3mm </t>
  </si>
  <si>
    <t xml:space="preserve">Tela asfáltica 5mm </t>
  </si>
  <si>
    <t xml:space="preserve">Tela Poliester 3mm </t>
  </si>
  <si>
    <t>ANDAMIOS METALICOS - ALQUILER (1 MES)</t>
  </si>
  <si>
    <t>Marcos 5 pies de alto x 5 pies de ancho</t>
  </si>
  <si>
    <t xml:space="preserve">Marcos 6.5 pies de alto x 3.5 pies de ancho </t>
  </si>
  <si>
    <t>Crucetas de 2.00m</t>
  </si>
  <si>
    <t>Acoples y springs</t>
  </si>
  <si>
    <t>Plataformas de 2.00m</t>
  </si>
  <si>
    <t>Bases niveladoras</t>
  </si>
  <si>
    <t>Juego de ruedas con frenos</t>
  </si>
  <si>
    <t>ANDAMIOS METALICOS - COMPRA</t>
  </si>
  <si>
    <t xml:space="preserve">Marcos 6 pies de alto x 3 pies de ancho </t>
  </si>
  <si>
    <t>Crucetas de 1.80m</t>
  </si>
  <si>
    <t>Plataformas de 1.80m</t>
  </si>
  <si>
    <t>MATERIALES DE SEGURIDAD LABORAL</t>
  </si>
  <si>
    <t>Casco de seguridad North ANSI con suspensión de pasador</t>
  </si>
  <si>
    <t>Casco de seguridad North ANSI con suspensión trinquete</t>
  </si>
  <si>
    <t>Guante de seguridad latex sobre algodón - todo trabajo</t>
  </si>
  <si>
    <t>Guante en nylon para trabajos con aceite</t>
  </si>
  <si>
    <t>Chaleco reflectivo color naranja</t>
  </si>
  <si>
    <t>Cono tráfico naranja 18" con collar reflectivo</t>
  </si>
  <si>
    <t>Cono tráfico naranja 28" con collar reflectivo</t>
  </si>
  <si>
    <t>Cinta de barricada amarilla - 3" x 1000 pies (CUIDADO)</t>
  </si>
  <si>
    <t>Protector auditivo reusable</t>
  </si>
  <si>
    <t>Malla de seguridad color naranja (4 pies x 100 pies)</t>
  </si>
  <si>
    <t>Lente de seguridad Pyramex con cordon</t>
  </si>
  <si>
    <t>Cinta reflectiva adhesiva rojo-blanco - Rollo 2" x 150 pies</t>
  </si>
  <si>
    <t>Bota de seguridad con punta de acero Worksafe</t>
  </si>
  <si>
    <t>Centella color ambar 12-80V con enchufe tipo encendedor</t>
  </si>
  <si>
    <t>Drumm alta densidad con cintas reflectivas 4" y pesa 25lbs</t>
  </si>
  <si>
    <t>PINTURAS</t>
  </si>
  <si>
    <t>Pintura Acrílica color preparado Popular</t>
  </si>
  <si>
    <t>Pintura Acrílica superior Popular</t>
  </si>
  <si>
    <t>Pintura Acrílica Plus Tropical</t>
  </si>
  <si>
    <t>Pintura Acrílica contractor Tropical</t>
  </si>
  <si>
    <t>Pintura Ambient Acrilica Tropical</t>
  </si>
  <si>
    <t>Pintura Ambient Semigloss Tropical</t>
  </si>
  <si>
    <t>Pintura Ambient Satinada Tropical</t>
  </si>
  <si>
    <t>Pintura Económica - Domastur</t>
  </si>
  <si>
    <t>Pintura Económica Ultratex - Tropical</t>
  </si>
  <si>
    <t>Pintura Semigloss Popular color preparado</t>
  </si>
  <si>
    <t>Pintura Semigloss Popular</t>
  </si>
  <si>
    <t>Pintura Semigloss Plus Tropical</t>
  </si>
  <si>
    <t>Pintura Semigloss contractor Tropical</t>
  </si>
  <si>
    <t>Pintura Esmalte Plus Tropical</t>
  </si>
  <si>
    <t>Pintura Mantenimiento Popular</t>
  </si>
  <si>
    <t>Pintura Contractor Esmalte Tropical</t>
  </si>
  <si>
    <t>Pintura Mantenimiento Industrial Tropical</t>
  </si>
  <si>
    <t>Dry-Coat Lanco Base+Pintura+Impermeab.</t>
  </si>
  <si>
    <t>Aqua Proof Lanco Membrana impermeable de aislamiento</t>
  </si>
  <si>
    <t>Sealer Lanco Primer Impermeabilizante</t>
  </si>
  <si>
    <t>Pintura Epóxica Popular</t>
  </si>
  <si>
    <t>Pintura Aquapóxica Tropical</t>
  </si>
  <si>
    <t>Pintura Anticorrosivo Tropical</t>
  </si>
  <si>
    <t>Pintura de tráfico Plus Tarmark Tropical</t>
  </si>
  <si>
    <t>Laca natural Tropical</t>
  </si>
  <si>
    <t>Barniz natural Tropical</t>
  </si>
  <si>
    <t>Barniz marino Tropical</t>
  </si>
  <si>
    <t>Pintura Ferro Tropical</t>
  </si>
  <si>
    <t>Pintura Esmalte Alquidico Tropical</t>
  </si>
  <si>
    <t>Thinner Popular AAA 2000</t>
  </si>
  <si>
    <t>Aguarrás Tropical</t>
  </si>
  <si>
    <t>Oxidod rojo Tropical</t>
  </si>
  <si>
    <t>Adhesivo líquido para concreto o empañete LANCO CB-606 (Torobond)</t>
  </si>
  <si>
    <t xml:space="preserve">Brocha 1/2" doble celda pelo blanco  </t>
  </si>
  <si>
    <t xml:space="preserve">Brocha 3/4" doble celda pelo blanco  </t>
  </si>
  <si>
    <t xml:space="preserve">Brocha 1" doble celda pelo blanco   </t>
  </si>
  <si>
    <t xml:space="preserve">Brocha 1-1/2" doble celda pelo blanco  </t>
  </si>
  <si>
    <t xml:space="preserve">Brocha 2" doble celda pelo blanco  </t>
  </si>
  <si>
    <t xml:space="preserve">Brocha 2-1/2" doble celda pelo blanco  </t>
  </si>
  <si>
    <t xml:space="preserve">Brocha 3" doble celda pelo blanco  </t>
  </si>
  <si>
    <t xml:space="preserve">Brocha 4" doble celda pelo blanco  </t>
  </si>
  <si>
    <t>Porta Rolo Lanco</t>
  </si>
  <si>
    <t>Bandeja Plastica</t>
  </si>
  <si>
    <t>Mota antigoteo Lanco</t>
  </si>
  <si>
    <t>Mota para rolo Superficie rugoso Lanco</t>
  </si>
  <si>
    <t>Extension telescopica fibra 6-12 pies</t>
  </si>
  <si>
    <t>Extension telescopica fibra 4-8 pies</t>
  </si>
  <si>
    <t>Extension telescopica Alum. 2-4M Premier</t>
  </si>
  <si>
    <t>Extension telescopica Alum. 6-12M Premier</t>
  </si>
  <si>
    <t>Masking Tape 1/2"</t>
  </si>
  <si>
    <t>Masking Tape 3/4"</t>
  </si>
  <si>
    <t>Masking Tape 1"</t>
  </si>
  <si>
    <t>Masking Tape 1-1/2"</t>
  </si>
  <si>
    <t>Masking Tape 2"</t>
  </si>
  <si>
    <t>Masking Tape verde 3/4" x 55 m.</t>
  </si>
  <si>
    <t>Masking Tape azul 3/4" x 60 ydas</t>
  </si>
  <si>
    <t>Masking Tape azul 2" x 60 ydas</t>
  </si>
  <si>
    <t>Masking Tape Orange 1.8" x 54.8M</t>
  </si>
  <si>
    <t>Tape de aluminio 2" x 10 ydas</t>
  </si>
  <si>
    <t>Duct Tape 2" x 50 m</t>
  </si>
  <si>
    <t>Cinta para empaque transparente 18" x 1500Y</t>
  </si>
  <si>
    <t>Andamios - Guindolas</t>
  </si>
  <si>
    <t>CONSTRUCCION LIGERA - SHEETROCK, PLAFONES, DENSGLASS</t>
  </si>
  <si>
    <t>Planchas de yeso Sheetrock 1/2 x 4 x 8</t>
  </si>
  <si>
    <t>Plancha dens glass Gold 1/2" x 4 x 8 pies</t>
  </si>
  <si>
    <t>Plancha Durock 4 x 8 pies x 1/2"</t>
  </si>
  <si>
    <t>Parales - Studs 2-1/2" x 10 C25</t>
  </si>
  <si>
    <t>Durmientes - Tracks 2-1/2" x 10 C25</t>
  </si>
  <si>
    <t>Cinta de yeso 250 PL</t>
  </si>
  <si>
    <t>Masilla para sheetrock 5GL</t>
  </si>
  <si>
    <t>Clavos 1-1/4" con arandelas Caja de 100unds</t>
  </si>
  <si>
    <t>Fulminates - Green Shots Caja de 100unds</t>
  </si>
  <si>
    <t>Tornillos 6 x 1-1/4" LBS 293 Torn/LB</t>
  </si>
  <si>
    <t>Tornillos 7 x 7/16" LBS 354 Torn/LB</t>
  </si>
  <si>
    <t>Esquinero metálico 10 pies</t>
  </si>
  <si>
    <t>Parales - Studs 2-1/2" x 10 C22</t>
  </si>
  <si>
    <t>Durmientes - Tracks 2-1/2" x 8 C20</t>
  </si>
  <si>
    <t>Cinta Durock 2" 300PL</t>
  </si>
  <si>
    <t>Esquinero en vinil 10 PL</t>
  </si>
  <si>
    <t>Planchas de yeso 1/2 x 4 x 8 pies</t>
  </si>
  <si>
    <t>Parales - Studs 1-5/8" x 10 C25</t>
  </si>
  <si>
    <t>Clavo de acero para plafon 100/1</t>
  </si>
  <si>
    <t>Panel de acceso plástico 14x29</t>
  </si>
  <si>
    <t>Panel de acceso plástico 22x22</t>
  </si>
  <si>
    <t>Panel de acceso plástico 6x9</t>
  </si>
  <si>
    <t>CONSTRUCCION LIGERA - HERRAMIENTAS</t>
  </si>
  <si>
    <t>Flota de goma para empañete</t>
  </si>
  <si>
    <t>Llana 11x4 1/2 EIFS</t>
  </si>
  <si>
    <t>Llana inoxidable 5x13 EIFS</t>
  </si>
  <si>
    <t xml:space="preserve">Llana dentada 1/4x1/4x1 1/2  </t>
  </si>
  <si>
    <t xml:space="preserve">Paleta para mezcla EIFS </t>
  </si>
  <si>
    <t>Bordeador 2" Esquina interior EIFS</t>
  </si>
  <si>
    <t>Bordeador 2" Esquina exterior EIFS</t>
  </si>
  <si>
    <t>Bandeja Plastica 12"</t>
  </si>
  <si>
    <t>Bandeja Acero inoxidable 14"</t>
  </si>
  <si>
    <t>Cuchilla de corte 6 Para yeso</t>
  </si>
  <si>
    <t xml:space="preserve">Cuchilla de reemplazo 6  </t>
  </si>
  <si>
    <t>Espatula 6 Blue</t>
  </si>
  <si>
    <t>Espatula  8 Blue</t>
  </si>
  <si>
    <t>Espatula 10 Blue</t>
  </si>
  <si>
    <t>Espatula 12 Blue</t>
  </si>
  <si>
    <t>Espatula 6 para junta flexible</t>
  </si>
  <si>
    <t xml:space="preserve">Espatula para esquina interior 5x4x10 </t>
  </si>
  <si>
    <t>Tiza azul 8oz</t>
  </si>
  <si>
    <t>Tiza roja 8oz</t>
  </si>
  <si>
    <t>Fulminante verde cal.27 americano</t>
  </si>
  <si>
    <t>Fulminante rojo cal.27 americano</t>
  </si>
  <si>
    <t>Fulminante amarillo cal.27 americano</t>
  </si>
  <si>
    <t>Fulminante marron cal 22 Americano</t>
  </si>
  <si>
    <t>Fulminante amarillo cal 22 Americano</t>
  </si>
  <si>
    <t>Fulminante verde cal.22 americano</t>
  </si>
  <si>
    <t>Fulminante rojo cal 27 Bluepink</t>
  </si>
  <si>
    <t>Fulminante verde cal 22 Bluepink</t>
  </si>
  <si>
    <t>Lijas 100 para yeso</t>
  </si>
  <si>
    <t>Lijas 120 para yeso</t>
  </si>
  <si>
    <t>Cortador circular</t>
  </si>
  <si>
    <t>Pistola Hilti Dx2</t>
  </si>
  <si>
    <t>Pistola Simpson PT-22</t>
  </si>
  <si>
    <t>Serrucho para yeso 15"</t>
  </si>
  <si>
    <t>Serrucho para yeso 6"</t>
  </si>
  <si>
    <t>Tijeras bulldog para metales gruesos</t>
  </si>
  <si>
    <t>Tijeras de corte recto</t>
  </si>
  <si>
    <t>Raspillador yeso metalico</t>
  </si>
  <si>
    <t xml:space="preserve">CONSTRUCCÓN LIGERAS - DANPALON </t>
  </si>
  <si>
    <t>Planchas   Dual, Dual 2 &amp; Softlite  60cms x 11.98m - 8mm</t>
  </si>
  <si>
    <t>Planchas  Dual, Dual 2 &amp; Softlite  60cms x 11.98m - 10mm</t>
  </si>
  <si>
    <t>Planchas   Multicelda &amp; DP Multicelda SoftLite 60cms x 11.98m - 6mm</t>
  </si>
  <si>
    <t>Planchas  Multicelda &amp; DP Multicelda SoftLite Lowe 60cms x 11.98m - 8mm</t>
  </si>
  <si>
    <t>Planchas  Multicelda &amp; DP Multicelda SoftLite  60cms x 11.98m - 8mm</t>
  </si>
  <si>
    <t>Planchas Multicelda &amp; DP Multicelda SoftLite 99.8cms x 11.98m - 16mm</t>
  </si>
  <si>
    <t>Planchas  3D Lite 60cms x 11.98m - 22mm</t>
  </si>
  <si>
    <t>Aseguradores acero inoxidable 6mm</t>
  </si>
  <si>
    <t>Aseguradores  acero inoxidable HD 8mm</t>
  </si>
  <si>
    <t>Aseguradores  acero inoxidable 16mm</t>
  </si>
  <si>
    <t>Aseguradores  expansión roof 10mm</t>
  </si>
  <si>
    <t>Tornillos para asegurar  Acero inoxidable 4.10x16¨</t>
  </si>
  <si>
    <t>Tornillos para asegurar Danpalon Compacto y multicelda  4.8x50´´</t>
  </si>
  <si>
    <t>Cinta adhesiva   34mm x 33m</t>
  </si>
  <si>
    <t>Cinta adhesiva   1-1/2" x 33m</t>
  </si>
  <si>
    <t>Cinta adhesiva    2" x 33m</t>
  </si>
  <si>
    <t>Conector "U" para Danpalon Dual, Panal, Multicelda y  Softlite - Alumio anodizado 6m</t>
  </si>
  <si>
    <t>Conector "U" para Danpalon Dual, Panal, Multicelda y  Softlite - Policarbonato 11.98m</t>
  </si>
  <si>
    <t>Conector "U" 1040 para Danpalon multicelda Policarbonato 11.98m - 16mm</t>
  </si>
  <si>
    <t>Conector "U" 1040 para Danpalon multicelda Separador de aluminio 11.98m - 16mm</t>
  </si>
  <si>
    <t>Conector "U" 1040 para Danpalon multicelda Tornillo p/separador de aluminio 48x50</t>
  </si>
  <si>
    <t>Terminal para bordes danpalon Policarbonato Transparente - 6,8,10,12,16 x 6m</t>
  </si>
  <si>
    <t>Terminal para bordes  Aluminio Gris  - 6mm x 6m</t>
  </si>
  <si>
    <t>Terminal para bordes  Aluminio Mill Finish Dr Holes  - 8mm x 3m</t>
  </si>
  <si>
    <t>Terminal para bordes Aluminio Mill Finish Dr Holes  - 10mm x 3m</t>
  </si>
  <si>
    <t>Terminal para bordes Aluminio Mill Finish Dr Holes  - 12mm x 3m</t>
  </si>
  <si>
    <t>Terminal para bordes Aluminio Gris  - 16mm x 6m</t>
  </si>
  <si>
    <t>Terminal para bordes  Aluminio Mill Finish  - 22mm x 3m</t>
  </si>
  <si>
    <t>Perfil estándar  p/bordes de techo  6ml</t>
  </si>
  <si>
    <t>Terminal p/conector U/2 - Dual, Panal y Softlite - Transparente</t>
  </si>
  <si>
    <t>Terminal p/conector U1040 - 1040 de Multicelda - Transparente</t>
  </si>
  <si>
    <t>Terminal p/conector U - Aluminio - Gris</t>
  </si>
  <si>
    <t xml:space="preserve">PLAFONES  </t>
  </si>
  <si>
    <t>Plafon Blanco FY-001 esp-7mm -250mm x 5800mm</t>
  </si>
  <si>
    <t>Plafon Blanco FY-003 esp-7mm - 603mm x 603mm - 2´x2´</t>
  </si>
  <si>
    <t>Plafon Blanco FY-004 esp-7mm - 603m x 1206mm - 2´x4´</t>
  </si>
  <si>
    <t>Perfil Extremo  FY-002 p/plafond PVC</t>
  </si>
  <si>
    <t>Perfil Top Corner p/plafond PVC</t>
  </si>
  <si>
    <t>Perfil H p/plafond PVC</t>
  </si>
  <si>
    <t>Plafón PVC Machihembrado, Todo Costo</t>
  </si>
  <si>
    <t>Plafón PVC Comercial 2x2, Todo Costo</t>
  </si>
  <si>
    <t>Plafón fisurado en fibra mineral 2x2 de 1/2", Todo Costo</t>
  </si>
  <si>
    <t>ADITIVOS Y MORTEROS ESPECIALES PARA LA CONSTRUCCION Y JUNTAS</t>
  </si>
  <si>
    <t>Aditivo acelerante para concreto Sikaset - 5GAL</t>
  </si>
  <si>
    <t>Mortero autonivelante Sika Level 100 25Kg</t>
  </si>
  <si>
    <t>Mortero de alta resistencia Sika Grout 213 30Kg</t>
  </si>
  <si>
    <t>Cinta asfáltica Sika Multiseal 100mm x 10m</t>
  </si>
  <si>
    <t>Fibra para mortero Sikafiber 1.0Kg</t>
  </si>
  <si>
    <t>Masilla Poliuretano Sikaflex Cartucho</t>
  </si>
  <si>
    <t>Cinta Water Stop PVC 9"</t>
  </si>
  <si>
    <t>ESTRUCTURAS METALICAS - HERRERIA</t>
  </si>
  <si>
    <t>Barra hierro negro cuadrada 1/2" x 20 pies</t>
  </si>
  <si>
    <t>Barra hierro negro cuadrada 5/8" x 20 pies</t>
  </si>
  <si>
    <t>Perfil hierro negro 2"x 4"x 20 pies 1.6mm</t>
  </si>
  <si>
    <t>Perfil hierro negro 2"x 3"x 20 pies 1.6mm</t>
  </si>
  <si>
    <t>Perfil hierro negro 2"x 1"x 20 pies 1.6mm</t>
  </si>
  <si>
    <t>Planchuela hierro negro 2" x 1/4" x 20pies</t>
  </si>
  <si>
    <t>Angular hierro negro 1-1/2" x 1/8"  x 20pies</t>
  </si>
  <si>
    <t>Perfil W4 x 13 Lb/PL 30 pies A36</t>
  </si>
  <si>
    <t>Perfil W6 x 12 Lb/PL 30 pies A36</t>
  </si>
  <si>
    <t>Perfil W6 x 15 Lb/PL 30 pies A36</t>
  </si>
  <si>
    <t>Perfil W8 x 10 Lb/PL 30 pies A36</t>
  </si>
  <si>
    <t>Perfil W8 x 15 Lb/PL 30 pies A36</t>
  </si>
  <si>
    <t>Perfil W8 x 24 Lb/PL 30 pies A36</t>
  </si>
  <si>
    <t>Perfil W8 x 31 Lb/PL 30 pies A36</t>
  </si>
  <si>
    <t>Perfil W10 x 12 Lb/PL 30 pies A36</t>
  </si>
  <si>
    <t>Perfil W10 x 15 Lb/PL 30 pies A36</t>
  </si>
  <si>
    <t>Perfil HSS 8"x8"x1/4" 40 pies A36</t>
  </si>
  <si>
    <t>Tola hierro negro 4 x 8 pies 3/4" A36</t>
  </si>
  <si>
    <t>Tola hierro negro 4 x 8 pies 5/8" A36</t>
  </si>
  <si>
    <t>Tola hierro negro 4 x 8 pies 1/2" A36</t>
  </si>
  <si>
    <t>Tola hierro negro 4 x 8 pies 3/8" A36</t>
  </si>
  <si>
    <t>Tola hierro negro 4 x 8 pies 1/4" A36</t>
  </si>
  <si>
    <t>Tola hierro negro 4 x 8 pies 3/16" A36</t>
  </si>
  <si>
    <t>Tola hierro negro 4 x 8 pies 1/8" A36</t>
  </si>
  <si>
    <t>Tola hierro negro 4 x 8 pies 1/16" A36</t>
  </si>
  <si>
    <t>Perfil hierro galvanizado 1-1/2"x 1-1/2"x 20 pies 1.5mm</t>
  </si>
  <si>
    <t>Disco de corte metal 7" Metabo</t>
  </si>
  <si>
    <t>Disco de corte metal 9" Metabo</t>
  </si>
  <si>
    <t>Soldadura Universal 6013 3/32"</t>
  </si>
  <si>
    <t>Soldadura Universal 7018 1/8"</t>
  </si>
  <si>
    <t>Zinc acanalado Calibre 34 - Plancha 6 x 3 pies</t>
  </si>
  <si>
    <t>Zinc acanalado Calibre 29 - Plancha 6 x 3 pies</t>
  </si>
  <si>
    <t>Caballete zinc calibre 34 - 6 pies</t>
  </si>
  <si>
    <t>Caballete zinc calibre 29 - 6 pies</t>
  </si>
  <si>
    <t>Aluzinc acanalado Plancha ancho 3.45 pies (espesor 0.55mm)</t>
  </si>
  <si>
    <t>MetalDeck Cal. 22 (espesor 0.80mm) ancho 3.45 pies</t>
  </si>
  <si>
    <t>MetalDeck Cal. 24 (espesor 0.60mm) ancho 3.45 pies</t>
  </si>
  <si>
    <t>MetalDeck Cal. 26 (espesor 0.50mm) ancho 3.45 pies</t>
  </si>
  <si>
    <t>Motosoldadora Lincoln 5.5KW</t>
  </si>
  <si>
    <t>TECHOS - TÉRMICOS, LAMINAS ACANALADAS,  POLICARBONATO, TEJAS, FASCIA</t>
  </si>
  <si>
    <t>Techo térmico Sunas 2.10 X 11.98m - 6mm</t>
  </si>
  <si>
    <t>Techo térmico  Termaluz 2.10 X 11.98m - 6mm</t>
  </si>
  <si>
    <t>Techo térmico Polygal 2.10 X 11.98m- 6mm</t>
  </si>
  <si>
    <t>Techo térmico  Shutter 2.10 X 580m- 6mm</t>
  </si>
  <si>
    <t>Techo térmico Sunas Frosted  2.10 X 11.98m - 8mm</t>
  </si>
  <si>
    <t>Techo térmico Polygal Frosted  2.10 X 11.98m- 8mm</t>
  </si>
  <si>
    <t>Techo térmico Sunas Frosted  2.10 X 11.98m - 10mm</t>
  </si>
  <si>
    <t>Techo térmico Slite Frosted  2.10 X 11.98m - 10mm</t>
  </si>
  <si>
    <t>Techo térmico Polygal Frosted  2.10 X 11.98m - 10mm</t>
  </si>
  <si>
    <t>Techo térmico Polygal Triple pared  2.10 X 11.98m - 16mm</t>
  </si>
  <si>
    <t>Láminas acanaladas USA indust.V-250 - Suntuf - 0.80mm x 1.06m x 11.98m</t>
  </si>
  <si>
    <t>Láminas acanaladas USA indust.V-250  - 0.80mm x 1.09m x 11.98m</t>
  </si>
  <si>
    <t>Láminas acanaladas USA indust.V-250 - Extura - 0.80mm x 1.09m x 11.98m</t>
  </si>
  <si>
    <t>Láminas acanaladas USA Sunsky 12 - 0.80mm x 0.965m x 11.98m</t>
  </si>
  <si>
    <t>Láminas acanaladas Industrial 12 - 0.80mm x 0.965m x 11.98m</t>
  </si>
  <si>
    <t>Láminas acanaladas Industrial 12 - Extura - 0.80mm x 0.965m x 11.98m</t>
  </si>
  <si>
    <t>Láminas acanaladas Blanco opaco PVC ondulada 1mm x 0.86m x 10.99m</t>
  </si>
  <si>
    <t>Láminas acanaladas Transp. perfil hierro  ondulada - Policarbonato 0.70mm x 0.81 x 10.99m</t>
  </si>
  <si>
    <t>Policarbonato transparente  0.75mm  4' x 8'</t>
  </si>
  <si>
    <t xml:space="preserve">Policarbonato transparente   1mm 4' x 8' </t>
  </si>
  <si>
    <t xml:space="preserve">Policarbonato transparente  1.5mm  4' x 8' </t>
  </si>
  <si>
    <t xml:space="preserve">Policarbonato transparente   2mm  4' x 8' </t>
  </si>
  <si>
    <t>Policarbonato transparente 1/8" 4' x 8'</t>
  </si>
  <si>
    <t>Policarbonato transparente 1/8" 6' x 8'</t>
  </si>
  <si>
    <t>Policarbonato transparente 1/8" 6'x 12'</t>
  </si>
  <si>
    <t xml:space="preserve">Policarbonato transparente 3/16" 4' x 8' </t>
  </si>
  <si>
    <t xml:space="preserve">Policarbonato transparente 3/16" 6' x 8' </t>
  </si>
  <si>
    <t>Policarbonato transparente 3/16" 6'x 12'</t>
  </si>
  <si>
    <t xml:space="preserve">Policarbonato transparente 1/4" 4' x 8' </t>
  </si>
  <si>
    <t xml:space="preserve">Policarbonato transparente  1/4" 6' x 8' </t>
  </si>
  <si>
    <t>Policarbonato transparente 1/4" 6'x 12'</t>
  </si>
  <si>
    <t>Policarbonato transparente 1/4" 6.7' x 19'</t>
  </si>
  <si>
    <t xml:space="preserve">Policarbonato transparente 3/8" 4' x 8' </t>
  </si>
  <si>
    <t>Policarbonato transparente 1/2" 4' x 8'</t>
  </si>
  <si>
    <t>Tejas PVC Gris 2.5 mm -  1.04m x 5.68m</t>
  </si>
  <si>
    <t>Tejas PVC  Roja 2.5 mm -  1.04m x 5.68m</t>
  </si>
  <si>
    <t>Tejas PVC Verde 2.5 mm -  1.04m x 5.68m</t>
  </si>
  <si>
    <t>Caballete p/tejas PVC Gris 2.5mm - 1.04m</t>
  </si>
  <si>
    <t>Caballete p/tejas PVC Rojo 2.5mm - 1.04m</t>
  </si>
  <si>
    <t>Caballete p/tejas PVC Verde  2.5mm - 1.04m</t>
  </si>
  <si>
    <t>Empalme de pared p/tejas PVC Gris 2.5mm - 1.04m</t>
  </si>
  <si>
    <t>Empalme de pared p/tejas PVC  Rojo 2.5mm - 1.04m</t>
  </si>
  <si>
    <t>Empalme de pared p/tejas PVC  Verde 2.5mm - 1.04m</t>
  </si>
  <si>
    <t>Fascia  marrón oscuro 63mm x 10mm x 2.9m</t>
  </si>
  <si>
    <t>Fascia madera  Café 63mm x 10mm x 2.9m</t>
  </si>
  <si>
    <t>Fascia madera   Rojo  63mm x 10mm x 2.9m</t>
  </si>
  <si>
    <t>Fascia  madera  Roble colourmix  63mm x 10mm x 2.9m</t>
  </si>
  <si>
    <t>Fascia madera  Blanca  colourmix 63mm x 10mm x 2.9m</t>
  </si>
  <si>
    <t>Fascia madera   Gris oscuro  colourmix 63mm x 10mm x 2.9m</t>
  </si>
  <si>
    <t>TORNILLOS</t>
  </si>
  <si>
    <t>Tarugo rojo 7/32" x 1-1/2"</t>
  </si>
  <si>
    <t>Tarugo verde 1/4" x 1-1/2"</t>
  </si>
  <si>
    <t>Tarugo azul 5/16" x 1-1/2"</t>
  </si>
  <si>
    <t>Tarugo naranja 3/8" x 1-1/2"</t>
  </si>
  <si>
    <t xml:space="preserve">Tarugo azul con tornillo   </t>
  </si>
  <si>
    <t>Tornillo tirafondo 6 x 1"</t>
  </si>
  <si>
    <t>Tornillo tirafondo 8 x 1"</t>
  </si>
  <si>
    <t>Tornillo tirafondo 10 x 1"</t>
  </si>
  <si>
    <t>Tornillo tirafondo 12 x 1"</t>
  </si>
  <si>
    <t>Tornillo tirafondo 14 x 1"</t>
  </si>
  <si>
    <t>Tornillo tirafondo 14 x 3"</t>
  </si>
  <si>
    <t>CABLES DE ACERO TRENZADO</t>
  </si>
  <si>
    <t>Cable de acero sin forro 1/16" 1.5mm</t>
  </si>
  <si>
    <t>Cable de acero sin forro 3/32" 2.0mm</t>
  </si>
  <si>
    <t>Cable de acero sin forro 1/8" 3.0mm</t>
  </si>
  <si>
    <t>Cable de acero sin forro 5/32" 4.0mm</t>
  </si>
  <si>
    <t>Cable de acero sin forro 3/16" 5.0mm</t>
  </si>
  <si>
    <t>Cable de acero sin forro 1/4" 6mm</t>
  </si>
  <si>
    <t>Cable de acero sin forro 5/16" 8.0mm</t>
  </si>
  <si>
    <t>Cable de acero sin forro 3/8" 10mm</t>
  </si>
  <si>
    <t>Cable de acero sin forro 1/2" 12.0mm</t>
  </si>
  <si>
    <t>Cable de acero con forro 1/16" 1.5mm</t>
  </si>
  <si>
    <t>Cable de acero con forro 3/32" 2.0mm</t>
  </si>
  <si>
    <t>Cable de acero con forro 1/8" 3.0mm</t>
  </si>
  <si>
    <t>Cable de acero con forro 5/32" 4.0mm</t>
  </si>
  <si>
    <t>Cable de acero con forro 3/16" 5.0mm</t>
  </si>
  <si>
    <t>Cable de acero con forro 1/4" 6mm</t>
  </si>
  <si>
    <t>Cable de acero con forro 5/16" 8.0mm</t>
  </si>
  <si>
    <t>Cable de acero con forro 3/8" 10mm</t>
  </si>
  <si>
    <t>Cable de acero con forro 1/2" 12.0mm</t>
  </si>
  <si>
    <t>YESO - TODO COSTO</t>
  </si>
  <si>
    <t>Pañetes en Yeso en paredes</t>
  </si>
  <si>
    <t>Pañetes en Yeso en techos y vigas</t>
  </si>
  <si>
    <t>Plafones en Laminas -Panderetas Yeso</t>
  </si>
  <si>
    <t>Cornisas</t>
  </si>
  <si>
    <t>Roseta 16"</t>
  </si>
  <si>
    <t>Roseta 24"</t>
  </si>
  <si>
    <t>Cantos en Yeso</t>
  </si>
  <si>
    <t>TUBERIAS DE HORMIGON</t>
  </si>
  <si>
    <t>Tubo de Hormigon simple de   8" x 1.00m</t>
  </si>
  <si>
    <t>Tubos de Hormigon simple de 12" x 1.10m</t>
  </si>
  <si>
    <t>Tubos de Hormigon simple de 15¨ x 1.10m</t>
  </si>
  <si>
    <t>Tubos de Hormigon simple de 18¨ x 1.10m</t>
  </si>
  <si>
    <t>Tubos de Hormigon armado de 21¨ x 1.20m</t>
  </si>
  <si>
    <t>Tubos de Hormigon armado de 24¨ x 1.20m</t>
  </si>
  <si>
    <t>Tubos de Hormigon armado de 30¨ x 1.20m</t>
  </si>
  <si>
    <t>Tubos de Hormigon armado de 36¨ x 1.20m</t>
  </si>
  <si>
    <t>Tubos de Hormigon armado de 42¨ x 1.20m</t>
  </si>
  <si>
    <t>Tubos de Hormigon armado de 48¨ x 1.20m</t>
  </si>
  <si>
    <t>Tubos de Hormigon armado de 60¨ x 1.20m</t>
  </si>
  <si>
    <t>Tubos de Hormigon armado de 72¨ x 1.20m</t>
  </si>
  <si>
    <t>TUBERIAS Y PIEZAS PVC PRESION - SCH-40</t>
  </si>
  <si>
    <t>Tubo ½"x19' PVC SCH-40</t>
  </si>
  <si>
    <t>Tubo ¾"x19' PVC SCH-40</t>
  </si>
  <si>
    <t>Tubo 1"x19' PVC SCH-40</t>
  </si>
  <si>
    <t>Tubo 1-½"x19' PVC SCH-40</t>
  </si>
  <si>
    <t>Tubo 2"x19' PVC SCH-40</t>
  </si>
  <si>
    <t>Tubo 3"x19' PVC SCH-40</t>
  </si>
  <si>
    <t>Tubo 4"x19' PVC SCH-40</t>
  </si>
  <si>
    <t>Tubo 6"x19' PVC SCH-40</t>
  </si>
  <si>
    <t>Tubo 8"x19' PVC SCH-40</t>
  </si>
  <si>
    <t>Tubo ½"x19' PVC SCH-80 gris</t>
  </si>
  <si>
    <t>Tubo ¾"x19' PVC SCH-80 gris</t>
  </si>
  <si>
    <t>Tubo 1"x19' PVC SCH-80 gris</t>
  </si>
  <si>
    <t>Tubo 1-½"x19' PVC SCH-80 gris</t>
  </si>
  <si>
    <t>Tubo 2"x19' PVC SCH-80 gris</t>
  </si>
  <si>
    <t>Tubo 3"x19' PVC SCH-80 gris</t>
  </si>
  <si>
    <t>Tubo 4"x19' PVC SCH-80 gris</t>
  </si>
  <si>
    <t>Codo 1/2" x 90 PVC presión</t>
  </si>
  <si>
    <t>Codo 3/4" x 90 PVC presión</t>
  </si>
  <si>
    <t>Codo 1" x 90 PVC presión</t>
  </si>
  <si>
    <t>Codo 1-1/2" x 90 PVC presión</t>
  </si>
  <si>
    <t>Codo 2" x 90 PVC presión</t>
  </si>
  <si>
    <t>Codo 3" x 90 PVC presión</t>
  </si>
  <si>
    <t>Codo 4" x 90 PVC presión</t>
  </si>
  <si>
    <t>Codo 6" x 90 PVC presión</t>
  </si>
  <si>
    <t>Codo 8" x 45 PVC presión</t>
  </si>
  <si>
    <t>Codo 8" x 90 PVC presión</t>
  </si>
  <si>
    <t>Codo 1/2" x 45 PVC presión</t>
  </si>
  <si>
    <t>Codo 3/4" x 45 PVC presión</t>
  </si>
  <si>
    <t>Codo 1" x 45 PVC presión</t>
  </si>
  <si>
    <t>Codo 1-1/2" x 45 PVC presión</t>
  </si>
  <si>
    <t>Codo 2" x 45 PVC presión</t>
  </si>
  <si>
    <t>Codo 3" x 45 PVC presión</t>
  </si>
  <si>
    <t>Codo 4" x 45 PVC presión</t>
  </si>
  <si>
    <t>Codo 6" x 45 PVC presión</t>
  </si>
  <si>
    <t>Tee 1/2" PVC presión</t>
  </si>
  <si>
    <t>Tee 3/4" PVC presión</t>
  </si>
  <si>
    <t>Tee 1" PVC presión</t>
  </si>
  <si>
    <t>Tee 1-1/2" PVC presión</t>
  </si>
  <si>
    <t>Tee 2" PVC presión</t>
  </si>
  <si>
    <t>Tee 3" PVC presión</t>
  </si>
  <si>
    <t>Tee 4" PVC presión</t>
  </si>
  <si>
    <t>Adaptador hembra 1/2" PVC presión</t>
  </si>
  <si>
    <t>Adaptador hembra 3/4" PVC presión</t>
  </si>
  <si>
    <t>Adaptador hembra 1" PVC presión</t>
  </si>
  <si>
    <t>Adaptador hembra 1-1/2" PVC presión</t>
  </si>
  <si>
    <t>Adaptador hembra 2" PVC presión</t>
  </si>
  <si>
    <t>Adaptador hembra 3" PVC presión</t>
  </si>
  <si>
    <t>Adaptador hembra 4" PVC presión</t>
  </si>
  <si>
    <t>Adaptador macho 1/2" PVC presión</t>
  </si>
  <si>
    <t>Adaptador macho 3/4" PVC presión</t>
  </si>
  <si>
    <t>Adaptador macho 1" PVC presión</t>
  </si>
  <si>
    <t>Adaptador macho 1-1/2" PVC presión</t>
  </si>
  <si>
    <t>Adaptador macho 2" PVC presión</t>
  </si>
  <si>
    <t>Adaptador macho 3" PVC presión</t>
  </si>
  <si>
    <t>Adaptador macho 4" PVC presión</t>
  </si>
  <si>
    <t>Adaptador macho 6" PVC presión</t>
  </si>
  <si>
    <t>Tapón hembra 1/2" PVC presión</t>
  </si>
  <si>
    <t>Tapón hembra 3/4" PVC presión</t>
  </si>
  <si>
    <t>Tapón hembra 1" PVC presión</t>
  </si>
  <si>
    <t>Tapón hembra 1-1/2" PVC presión</t>
  </si>
  <si>
    <t>Tapón hembra 2" PVC presión</t>
  </si>
  <si>
    <t>Tapón hembra 3" PVC presión</t>
  </si>
  <si>
    <t>Tapón hembra 4" PVC presión</t>
  </si>
  <si>
    <t>Reducción 3/4" a 1/2" PVC presión</t>
  </si>
  <si>
    <t>Reducción 1" a 1/2" PVC presión</t>
  </si>
  <si>
    <t>Reducción 1" a 3/4" PVC presión</t>
  </si>
  <si>
    <t>Reducción 1-1/2" a 1/2" PVC presión</t>
  </si>
  <si>
    <t>Reducción 1-1/2" a 1" PVC presión</t>
  </si>
  <si>
    <t>Reducción 2" a 1" PVC presión</t>
  </si>
  <si>
    <t>Reducción 3" a 2" PVC presión</t>
  </si>
  <si>
    <t>Reducción 4" a 2" PVC presión</t>
  </si>
  <si>
    <t>Reducción 4" a 3" PVC presión</t>
  </si>
  <si>
    <t>Junta Dresser PVC 1/2"</t>
  </si>
  <si>
    <t>Junta Dresser PVC 3/4"</t>
  </si>
  <si>
    <t>Junta Dresser PVC 1"</t>
  </si>
  <si>
    <t>Junta Dresser PVC 1-1/2"</t>
  </si>
  <si>
    <t>Junta Dresser PVC 2"</t>
  </si>
  <si>
    <t>Junta Dresser PVC 3"</t>
  </si>
  <si>
    <t>Junta Dresser PVC 4"</t>
  </si>
  <si>
    <t>Check horizontal 1/2"</t>
  </si>
  <si>
    <t>Check horizontal 3/4"</t>
  </si>
  <si>
    <t>Check horizontal 1"</t>
  </si>
  <si>
    <t>Check horizontal 1-1/2"</t>
  </si>
  <si>
    <t>Check vertical 1/2"</t>
  </si>
  <si>
    <t>Check vertical 3/4"</t>
  </si>
  <si>
    <t>Check vertical 1"</t>
  </si>
  <si>
    <t>Check vertical 1-1/2"</t>
  </si>
  <si>
    <t>Llave de paso de bola palanca 1/4"</t>
  </si>
  <si>
    <t>Llave de paso de bola palanca 1/2"</t>
  </si>
  <si>
    <t>Llave de paso de bola palanca 3/4"</t>
  </si>
  <si>
    <t>Llave de paso de bola palanca 1"</t>
  </si>
  <si>
    <t>Llave de paso de bola palanca 1-1/2"</t>
  </si>
  <si>
    <t>Llave de bola mariposa 1/2"</t>
  </si>
  <si>
    <t>Llave de bola mariposa 3/4"</t>
  </si>
  <si>
    <t>TUBERIAS Y PIEZAS PVC DRENAJE</t>
  </si>
  <si>
    <t>Cemento PVC OATEY 32oz</t>
  </si>
  <si>
    <t>Cemento PVC OATEY 16oz</t>
  </si>
  <si>
    <t>Cemento PVC OATEY 8oz</t>
  </si>
  <si>
    <t>Cemento PVC OATEY 4oz</t>
  </si>
  <si>
    <t>Tubo ½"x19' PVC SDR-26</t>
  </si>
  <si>
    <t>Tubo ¾"x19' PVC SDR-26</t>
  </si>
  <si>
    <t>Tubo 1"x19' PVC SDR-26</t>
  </si>
  <si>
    <t>Tubo 1-½"x19' PVC SDR-26</t>
  </si>
  <si>
    <t>Tubo 2"x19' PVC SDR-26</t>
  </si>
  <si>
    <t>Tubo 3"x19' PVC SDR-26</t>
  </si>
  <si>
    <t>Tubo 4"x19' PVC SDR-26</t>
  </si>
  <si>
    <t>Tubo 6"x19' PVC SDR-26</t>
  </si>
  <si>
    <t>Tubo 8"x19' PVC SDR-26</t>
  </si>
  <si>
    <t>Tubo 1-1/2"x19 PVC SDR-41</t>
  </si>
  <si>
    <t>Tubo 2"x19 PVC SDR-41</t>
  </si>
  <si>
    <t>Tubo 3"x19 PVC SDR-41</t>
  </si>
  <si>
    <t>Tubo 4"x19 PVC SDR-41</t>
  </si>
  <si>
    <t>Tubo 6"x19 PVC SDR-41</t>
  </si>
  <si>
    <t>Tubo 8"x19 PVC SDR-41</t>
  </si>
  <si>
    <t>Tubo 1"x19' PVC DRENAJE</t>
  </si>
  <si>
    <t>Tubo 1-1/2"x19' PVC DRENAJE</t>
  </si>
  <si>
    <t>Tubo 2"x19' PVC DRENAJE</t>
  </si>
  <si>
    <t>Tubo 3"x19' PVC DRENAJE</t>
  </si>
  <si>
    <t>Tubo 4"x19' PVC DRENAJE</t>
  </si>
  <si>
    <t>Tubo 6"x19' PVC DRENAJE</t>
  </si>
  <si>
    <t>Tubo 8"x19' PVC DRENAJE</t>
  </si>
  <si>
    <t>Codo 2" x 90 PVC Drenaje</t>
  </si>
  <si>
    <t>Codo 3" x 90 PVC Drenaje</t>
  </si>
  <si>
    <t>Codo 4" x 90 PVC Drenaje</t>
  </si>
  <si>
    <t>Codo 6" x 90 PVC Drenaje</t>
  </si>
  <si>
    <t>Codo 2" x 45 PVC Drenaje</t>
  </si>
  <si>
    <t>Codo 3" x 45 PVC drenaje</t>
  </si>
  <si>
    <t>Codo 4" x 45 PVC Drenaje</t>
  </si>
  <si>
    <t>Codo 6" x 45 PVC Drenaje</t>
  </si>
  <si>
    <t>Tee 1-1/2" PVC drenaje</t>
  </si>
  <si>
    <t>Tee 2" PVC drenaje</t>
  </si>
  <si>
    <t>Tee 3" PVC drenaje</t>
  </si>
  <si>
    <t>Tee 4" PVC drenaje</t>
  </si>
  <si>
    <t>Tee 6" PVC drenaje</t>
  </si>
  <si>
    <t>Tee 3" x 2" PVC drenaje</t>
  </si>
  <si>
    <t>Tee 4" x 2" PVC drenaje</t>
  </si>
  <si>
    <t>Tee 4" x 3" PVC drenaje</t>
  </si>
  <si>
    <t>Tee 6" x 4" PVC drenaje</t>
  </si>
  <si>
    <t>Yee 2" x 2" PVC drenaje</t>
  </si>
  <si>
    <t>Yee 3" x 3" PVC drenaje</t>
  </si>
  <si>
    <t>Yee 4" x 4" PVC Drenaje</t>
  </si>
  <si>
    <t>Yee 6" a 6" PVC Drenaje</t>
  </si>
  <si>
    <t>Yee 3" a 2" PVC Drenaje</t>
  </si>
  <si>
    <t>Yee 4" a 2" PVC Drenaje</t>
  </si>
  <si>
    <t>Yee 4" a 3" PVC Drenaje</t>
  </si>
  <si>
    <t>Sifón 2" PVC drenaje</t>
  </si>
  <si>
    <t>Sifón 4" PVC drenaje</t>
  </si>
  <si>
    <t>Reducción 2" a 1-1/2" PVC drenaje</t>
  </si>
  <si>
    <t>Reducción 4" x 2" PVC drenaje</t>
  </si>
  <si>
    <t>Reducción 4" x 3" PVC drenaje</t>
  </si>
  <si>
    <t>Reducción 6" x 4" PVC drenaje</t>
  </si>
  <si>
    <t>TUBERIAS POLIETILENO Y PIEZAS BRONCE</t>
  </si>
  <si>
    <t>Tubería Flexible Polietileno 12mm - PARA GLP</t>
  </si>
  <si>
    <t>PIE</t>
  </si>
  <si>
    <t>Tubería Flexible Polietileno 15mm</t>
  </si>
  <si>
    <t>Tubería Flexible Polietileno 18mm</t>
  </si>
  <si>
    <t>Conector Racor Macho 12mm</t>
  </si>
  <si>
    <t>Conector Racor Macho 15mm</t>
  </si>
  <si>
    <t>Conector Racor Macho 18mm</t>
  </si>
  <si>
    <t>Conector Racor hembra 12mm</t>
  </si>
  <si>
    <t>Conector Racor hembra 15mm</t>
  </si>
  <si>
    <t>Conector Racor hembra 18mm</t>
  </si>
  <si>
    <t>Codo hembra 1/2" - 12mm x 90 grados bronce</t>
  </si>
  <si>
    <t>Codo hembra 1/2" - 15mm x 90 grados bronce</t>
  </si>
  <si>
    <t>Codo hembra 1/2" - 18mm x 90 grados bronce</t>
  </si>
  <si>
    <t>Tee 12mm bronce</t>
  </si>
  <si>
    <t>Tee 15mm bronce</t>
  </si>
  <si>
    <t>Tee 18mm bronce</t>
  </si>
  <si>
    <t>Unión bronce 12mm</t>
  </si>
  <si>
    <t>Unión bronce 15mm</t>
  </si>
  <si>
    <t>Unión bronce 18mm</t>
  </si>
  <si>
    <t>TUBERIAS y PIEZAS POLIPROPILENO PPR</t>
  </si>
  <si>
    <t>Tubería Polipropileno PPR 20mm</t>
  </si>
  <si>
    <t>Tubería Polipropileno PPR 25mm</t>
  </si>
  <si>
    <t>Tubería Polipropileno PPR 32mm</t>
  </si>
  <si>
    <t>Tubería Polipropileno PPR 50mm</t>
  </si>
  <si>
    <t>Tubería Polipropileno PPR 63mm</t>
  </si>
  <si>
    <t>Codo 20mm PPR</t>
  </si>
  <si>
    <t>Codo 25mm PPR</t>
  </si>
  <si>
    <t>Codo 32mm PPR</t>
  </si>
  <si>
    <t>Codo 50mm PPR</t>
  </si>
  <si>
    <t>Codo 63mm PPR</t>
  </si>
  <si>
    <t>Codo 20mm x 45 PPR</t>
  </si>
  <si>
    <t>Codo 25mm x 45 PPR</t>
  </si>
  <si>
    <t>Codo 32mm x 45 PPR</t>
  </si>
  <si>
    <t>Codo 50mm x 45 PPR</t>
  </si>
  <si>
    <t>Codo 63mm x 45 PPR</t>
  </si>
  <si>
    <t>Tee 20mm PPR</t>
  </si>
  <si>
    <t>Tee 25mm PPR</t>
  </si>
  <si>
    <t>Tee 32mm PPR</t>
  </si>
  <si>
    <t>Tee 50mm PPR</t>
  </si>
  <si>
    <t>Tee 63mm PPR</t>
  </si>
  <si>
    <t>Unión universal 20mm PPR</t>
  </si>
  <si>
    <t>Unión universal 32mm PPR</t>
  </si>
  <si>
    <t>Unión universal 50mm PPR</t>
  </si>
  <si>
    <t>Unión universal 63mm PPR</t>
  </si>
  <si>
    <t>Codo macho 1/2" x 25 PPR</t>
  </si>
  <si>
    <t>Codo macho 1/2" x 32 PPR</t>
  </si>
  <si>
    <t>Codo macho 1" x 32mm PPR</t>
  </si>
  <si>
    <t>Codo macho 1/2" x 20mm PPR</t>
  </si>
  <si>
    <t>Codo hembra3/4" x 20mm PPR</t>
  </si>
  <si>
    <t>Codo hembra 3/4" x 25mm PPR</t>
  </si>
  <si>
    <t>Codo hembra 1/2" x 25mm PPR</t>
  </si>
  <si>
    <t>Codo hembra 3/4" x 20mm PPR</t>
  </si>
  <si>
    <t>Codo hembra 3/4" x 32mm PPR</t>
  </si>
  <si>
    <t>Codo hembra 1" x 32mm PPR</t>
  </si>
  <si>
    <t>Adaptador hembra 3/4" x 20mm PPR</t>
  </si>
  <si>
    <t>Adaptador hembra 3/4" x 25mm PPR</t>
  </si>
  <si>
    <t>Adaptador hembra 3/4" x 32mm PPR</t>
  </si>
  <si>
    <t>TUBERIAS Y PIEZAS HIERRO GALVANIZADO H.G.</t>
  </si>
  <si>
    <t>Tubo 1/2"x20 H.G.</t>
  </si>
  <si>
    <t>Tubo 3/4"x20 H.G.</t>
  </si>
  <si>
    <t>Tubo 1"x20 H.G.</t>
  </si>
  <si>
    <t>Tubo 1-1/2"x20 H.G.</t>
  </si>
  <si>
    <t>Tubo 2"x20 H.G.</t>
  </si>
  <si>
    <t>Tubo 3"x20 H.G.</t>
  </si>
  <si>
    <t>Tubo 4"x20 H.G.</t>
  </si>
  <si>
    <t>Codo de 1/2" x 90 H.G.</t>
  </si>
  <si>
    <t>Codo de 3/4" x 90 H.G.</t>
  </si>
  <si>
    <t>Codo de 1" x 90 H.G.</t>
  </si>
  <si>
    <t>Codo de 1-1/2" x 90 H.G.</t>
  </si>
  <si>
    <t>Codo de 2" x 90 H.G.</t>
  </si>
  <si>
    <t>Codo de 3" x 90 H.G.</t>
  </si>
  <si>
    <t>Codo de 4" x 90 H.G.</t>
  </si>
  <si>
    <t>Codo niple de 1/2" H.G.</t>
  </si>
  <si>
    <t>Codo niple de 3/4" H.G.</t>
  </si>
  <si>
    <t>Codo niple de 1" H.G.</t>
  </si>
  <si>
    <t>Codo niple de 1-1/2" H.G.</t>
  </si>
  <si>
    <t>Codo niple de 2" x 90 H.G.</t>
  </si>
  <si>
    <t>Tee de 1/2" H.G.</t>
  </si>
  <si>
    <t>Tee de 3/4" H.G.</t>
  </si>
  <si>
    <t>Tee de 1" H.G.</t>
  </si>
  <si>
    <t>Tee de 1-1/2" H.G.</t>
  </si>
  <si>
    <t>Tee de 2" H.G.</t>
  </si>
  <si>
    <t>Tee de 3" H.G.</t>
  </si>
  <si>
    <t>Tee de 4" H.G.</t>
  </si>
  <si>
    <t>Coupling de 1/2" H.G.</t>
  </si>
  <si>
    <t>Coupling de 3/4" H.G.</t>
  </si>
  <si>
    <t>Coupling de 1" H.G.</t>
  </si>
  <si>
    <t>Coupling de 1-1/2" H.G.</t>
  </si>
  <si>
    <t>Coupling de 2" H.G.</t>
  </si>
  <si>
    <t>Coupling de 3" H.G.</t>
  </si>
  <si>
    <t>Coupling de 4" H.G.</t>
  </si>
  <si>
    <t>Niple de 1/2" x 12" H.G.</t>
  </si>
  <si>
    <t>Niple de 1/2" x 10" H.G.</t>
  </si>
  <si>
    <t>Niple de 1/2" x 8" H.G.</t>
  </si>
  <si>
    <t>Niple de 1/2" x 6" H.G.</t>
  </si>
  <si>
    <t>Niple de 1/2" x 5" H.G.</t>
  </si>
  <si>
    <t>Niple de 1/2" x 4" H.G.</t>
  </si>
  <si>
    <t>Niple de 1/2" x 3" H.G.</t>
  </si>
  <si>
    <t>Niple de 1/2" x 2-1/2" H.G.</t>
  </si>
  <si>
    <t>Niple de 1/2" x 2" H.G.</t>
  </si>
  <si>
    <t>Niple de 1/2" x 1-1/2" H.G.</t>
  </si>
  <si>
    <t>Niple de 1/2" x 1" H.G.</t>
  </si>
  <si>
    <t>Niple de 3/4" x 12" H.G.</t>
  </si>
  <si>
    <t>Niple de 3/4" x 10" H.G.</t>
  </si>
  <si>
    <t>Niple de 3/4" x 8" H.G.</t>
  </si>
  <si>
    <t>Niple de 3/4" x 6" H.G.</t>
  </si>
  <si>
    <t>Niple de 3/4" x 5" H.G.</t>
  </si>
  <si>
    <t>Niple de 3/4" x 4" H.G.</t>
  </si>
  <si>
    <t>Niple de 3/4" x 3" H.G.</t>
  </si>
  <si>
    <t>Niple de 3/4" x 2-1/2" H.G.</t>
  </si>
  <si>
    <t>Niple de 3/4" x 2" H.G.</t>
  </si>
  <si>
    <t>Niple de 3/4" x 1-1/2" H.G.</t>
  </si>
  <si>
    <t>Niple de 3/4" x 1" H.G.</t>
  </si>
  <si>
    <t>Tapón hembra 1/2" H.G.</t>
  </si>
  <si>
    <t>Tapón hembra 3/4" H.G.</t>
  </si>
  <si>
    <t>Tapón hembra 1" H.G.</t>
  </si>
  <si>
    <t>Tapón hembra 1-1/2" H.G.</t>
  </si>
  <si>
    <t>Tapón hembra 2" H.G.</t>
  </si>
  <si>
    <t>Tapón hembra 3" H.G.</t>
  </si>
  <si>
    <t>Tapón hembra 4" H.G.</t>
  </si>
  <si>
    <t>Tapón macho 1/2" H.G.</t>
  </si>
  <si>
    <t>Tapón macho 3/4" H.G.</t>
  </si>
  <si>
    <t>Tapón macho 1" H.G.</t>
  </si>
  <si>
    <t>Tapón macho 1-1/2" H.G.</t>
  </si>
  <si>
    <t>Tapón macho 2" H.G.</t>
  </si>
  <si>
    <t>Tapón macho 3" H.G.</t>
  </si>
  <si>
    <t>APARATOS SANITARIOS, PIEZAS Y FITTINGS</t>
  </si>
  <si>
    <t>Inodoro Taino con tapa</t>
  </si>
  <si>
    <t>Inodoro Bath Collection con tapa V2"</t>
  </si>
  <si>
    <t>Inodoro Bath Collection con tapa V3"</t>
  </si>
  <si>
    <t>Inodoro Corona con tapa</t>
  </si>
  <si>
    <t>Inodoro Bohm con tapa</t>
  </si>
  <si>
    <t>Inodoro Corona blanco con tapa Smart</t>
  </si>
  <si>
    <t>Inodoro Corona blanco con tapa Montecarlo</t>
  </si>
  <si>
    <t>Inodoro happy blanco con tapa red Corona</t>
  </si>
  <si>
    <t>Inodoro quadrato blanco con tapa Corona</t>
  </si>
  <si>
    <t>Inodoro blanco Dama Roca</t>
  </si>
  <si>
    <t>Asiento para inodoro fluxometro Royal</t>
  </si>
  <si>
    <t>Lavamanos Royal blanco</t>
  </si>
  <si>
    <t>Lavamanos Antiquity  blanco</t>
  </si>
  <si>
    <t>Lavamanos Azteca blanco</t>
  </si>
  <si>
    <t>Lavamanos Embajador blanco</t>
  </si>
  <si>
    <t>Lavamanos de empotrar Bath Collection</t>
  </si>
  <si>
    <t xml:space="preserve">Lavamanos de Tope Bath Collection  </t>
  </si>
  <si>
    <t xml:space="preserve">Lavamanos de pedestal Bath Collection  </t>
  </si>
  <si>
    <t>Pedestal Simplex blanco</t>
  </si>
  <si>
    <t>Pedestal Piamonte blanco Corona</t>
  </si>
  <si>
    <t>Pedestal Mazara blanco Corona</t>
  </si>
  <si>
    <t>Pedestal blanco Bath Collection</t>
  </si>
  <si>
    <t>Mueble hidrofugo de Lavamanos con espejo 0.80m</t>
  </si>
  <si>
    <t>Mueble hidrofugo de Lavamanos con espejo 0.40m</t>
  </si>
  <si>
    <t>Juego de accesorios de baño cristal y cromado</t>
  </si>
  <si>
    <t>Juego accesorios baño 6 piezas blanco</t>
  </si>
  <si>
    <t>Fregadero Acero Inox. Doble  22" x 33"  9´</t>
  </si>
  <si>
    <t>Fregadero Acero Inox. Doble  22" x 33"  7´</t>
  </si>
  <si>
    <t>Fregadero Acero Inox. sencillo 25"x22" 6´</t>
  </si>
  <si>
    <t>Fregadero Acero Inox. sencillo 15"x15" 6´</t>
  </si>
  <si>
    <t>Lavadero en granito sencillo</t>
  </si>
  <si>
    <t>Lavadero en granito doble</t>
  </si>
  <si>
    <t>Bañera en fibra de vidrio con falda</t>
  </si>
  <si>
    <t xml:space="preserve">Bañera en acrílico con falda </t>
  </si>
  <si>
    <t>Bañera en metal con falda</t>
  </si>
  <si>
    <t>Mampara de cristal templado para bañera 0.80m x 1.90m x 8mm</t>
  </si>
  <si>
    <t>Mampara de cristal templado para bañera 0.90m x 1.90m x 8mm</t>
  </si>
  <si>
    <t>Mampara de cristal templado para bañera 1.00m x 1.90m x 8mm</t>
  </si>
  <si>
    <t>Plato de ducha 0.90x0.90m blanco en acrílico</t>
  </si>
  <si>
    <t>Barra de seguridad acero inoxidable ducha/indoro 60cms</t>
  </si>
  <si>
    <t>Barra de seguridad acero inoxidable ducha/indoro 40cms</t>
  </si>
  <si>
    <t>Ducha plastica</t>
  </si>
  <si>
    <t>Roceador ducha Urrea</t>
  </si>
  <si>
    <t>Pichorro cromado para baño toma de 1/2"</t>
  </si>
  <si>
    <t>Orinal pequeño blanco Bettor</t>
  </si>
  <si>
    <t>Orinal blanco Trebol 1.0 gpf</t>
  </si>
  <si>
    <t>Desague PVC para bañera Eastman</t>
  </si>
  <si>
    <t xml:space="preserve">Desague PVC para bañera de pie Eastman </t>
  </si>
  <si>
    <t>Desague para fregadero sencillo PVC</t>
  </si>
  <si>
    <t>Desague para fregadero doble 1-1/2" x 6" PVC</t>
  </si>
  <si>
    <t>Rejilla para desague piso acero Inoxidable 2"</t>
  </si>
  <si>
    <t>Rejilla para desague piso sencilla zinc 2"</t>
  </si>
  <si>
    <t>Calentador de tanque fibra vidrio local 6Gls</t>
  </si>
  <si>
    <t>Calentador de tanque fibra vidrio local 15 Gls</t>
  </si>
  <si>
    <t xml:space="preserve">Calentador de línea - Gas Propano 37 Lt. </t>
  </si>
  <si>
    <t xml:space="preserve">Calentador de línea - Gas Propano 23 Lt. </t>
  </si>
  <si>
    <t xml:space="preserve">Calentador de línea - Gas Propano 20 Lt. </t>
  </si>
  <si>
    <t xml:space="preserve">Calentador de línea - Gas Propano 12 Lt. </t>
  </si>
  <si>
    <t>Calentador de línea - Gas Propano 7.5 Lt.</t>
  </si>
  <si>
    <t>Calentador de línea - Eléctrico 220v EeMax</t>
  </si>
  <si>
    <t>Niple Cromado 1/2" x 3"</t>
  </si>
  <si>
    <t>Cubrefalta cromado 1/2"</t>
  </si>
  <si>
    <t>Cubrefalta cromado 3/4"</t>
  </si>
  <si>
    <t>Llave Angular 1/2" a 3/8"</t>
  </si>
  <si>
    <t>Manguera flexible lavamanos inoxidable 3/8" Eastman</t>
  </si>
  <si>
    <t>Manguera flexible inodoro inoxidable 3/8" Eastman</t>
  </si>
  <si>
    <t>Manguera flexible orinal inoxidable 3/8" Eastman</t>
  </si>
  <si>
    <t>Junta de Cera inodoro Swan Max</t>
  </si>
  <si>
    <t>Arandela PVC 4x4"</t>
  </si>
  <si>
    <t>Juego de tornillos de basineta</t>
  </si>
  <si>
    <t>Gancho para fijación aérea Drenaje PVC</t>
  </si>
  <si>
    <t>Boquilla para lavamanos 1-1/4" x 5 PVC Eastman</t>
  </si>
  <si>
    <t>Boquilla para lavamanos 1-1/4" push button c/rebose</t>
  </si>
  <si>
    <t>Boquilla metal para fregadero 4-1/2"</t>
  </si>
  <si>
    <t>Boquilla Automática metal lavamanos 1-1/4"</t>
  </si>
  <si>
    <t>Sifón 1-1/4" PVC para lavamanos</t>
  </si>
  <si>
    <t xml:space="preserve">Cola de Extensión PVC 1-1/4" x 8" PVC lavamanos </t>
  </si>
  <si>
    <t xml:space="preserve">Cola de Extensión PVC 1-1/2" x 8" PVC lavamanos </t>
  </si>
  <si>
    <t>Rollo Teflón 1"</t>
  </si>
  <si>
    <t>Silicón transparente antihongos</t>
  </si>
  <si>
    <t>Silicón poliuretano de alta resistencia</t>
  </si>
  <si>
    <t>Valvula para cisterna 1/2"</t>
  </si>
  <si>
    <t>Valvula para cisterna 3/4"</t>
  </si>
  <si>
    <t>Valvula para cisterna 1"</t>
  </si>
  <si>
    <t>Flota plástica para válvula de cisterna 1/4" x 12"</t>
  </si>
  <si>
    <t>Tapa cisterna en aluminio 24" x 24"</t>
  </si>
  <si>
    <t>Tapa cisterna en tola corrugada 24" x 24"</t>
  </si>
  <si>
    <t>Tapa cisterna en tola lisa 24" x 24"</t>
  </si>
  <si>
    <t>Tapa cisterna en tola corrugada 27" x 27"</t>
  </si>
  <si>
    <t>Tapa cisterna en tola lisa 27" x 27"</t>
  </si>
  <si>
    <t>Tapa cisterna en aluminio 30" x 30"</t>
  </si>
  <si>
    <t>Tapa cisterna en tola corrugada 30" x 30"</t>
  </si>
  <si>
    <t>Tapa cisterna en tola lisa 30" x 30"</t>
  </si>
  <si>
    <t>MEZCLADORAS Y LLAVES</t>
  </si>
  <si>
    <t>Mezcladora Eastman  lavamanos</t>
  </si>
  <si>
    <t>Mezcladora Sayco Pasadena empotrada ducha</t>
  </si>
  <si>
    <t>Mezcladora monomando de superficie para ducha</t>
  </si>
  <si>
    <t>Mezcladora para fregadero cromo Deluxe Ons</t>
  </si>
  <si>
    <t xml:space="preserve">Mezcladora para fregadero cromo monomando </t>
  </si>
  <si>
    <t>Llave de empotar para ducha Sayco</t>
  </si>
  <si>
    <t>Llave sencilla cromada</t>
  </si>
  <si>
    <t>Llave cromada para orinal</t>
  </si>
  <si>
    <t>Valvula fluxometro para inodoro Helvex</t>
  </si>
  <si>
    <t>Valvula fluxometro para orinal Helvex</t>
  </si>
  <si>
    <t>Valvula fluxometro para inod./orinal  con sensor infrarojo</t>
  </si>
  <si>
    <t>Sensor infrarojo para Valvula fluxometro inod.</t>
  </si>
  <si>
    <t>Válvula push button cromada Helvex para orinal</t>
  </si>
  <si>
    <t>Valvula push button cromada Brown para orinal</t>
  </si>
  <si>
    <t>Llave de chorro de 1/2"</t>
  </si>
  <si>
    <t xml:space="preserve">Llave de chorro de 1/2" pesada </t>
  </si>
  <si>
    <t>TINACOS</t>
  </si>
  <si>
    <t>Tinaco Agua Tinacom 300 GLS</t>
  </si>
  <si>
    <t>Tinaco Agua Tinacom 400 GLS</t>
  </si>
  <si>
    <t>Tinaco Agua Plastica 500 GLS</t>
  </si>
  <si>
    <t>Tinaco Tinagua 700 GLS</t>
  </si>
  <si>
    <t>Tinaco Tinagua 1,100 GLS</t>
  </si>
  <si>
    <t>BOMBAS DE AGUA, TANQUES PRESION Y FITTINGS</t>
  </si>
  <si>
    <t xml:space="preserve">Bomba para cisterna 5HP 3PH Myers </t>
  </si>
  <si>
    <t xml:space="preserve">Bomba para cisterna 5HP 1PH Myers </t>
  </si>
  <si>
    <t xml:space="preserve">Bomba para cisterna 3HP Myers </t>
  </si>
  <si>
    <t xml:space="preserve">Bomba para cisterna 2HP Myers </t>
  </si>
  <si>
    <t xml:space="preserve">Bomba para cisterna 1HP Myers </t>
  </si>
  <si>
    <t xml:space="preserve">Bomba para cisterna 3/4HP Myers </t>
  </si>
  <si>
    <t xml:space="preserve">Bomba para cisterna 1/2HP Myers </t>
  </si>
  <si>
    <t>Bomba ladrona 1/2HP Pedrollo</t>
  </si>
  <si>
    <t>Bomba ladrona 1/2HP con tanque de presión</t>
  </si>
  <si>
    <t>Bomba sumergible 1 1/2 HP Myers</t>
  </si>
  <si>
    <t>Bomba sumergible 1HP Myers</t>
  </si>
  <si>
    <t>Bomba sumergible 1/2 HP Myers</t>
  </si>
  <si>
    <t>Caja de control Pentek 5HP</t>
  </si>
  <si>
    <t>Caja de control Pentek 3HP</t>
  </si>
  <si>
    <t>Caja de control Pentek 1HP</t>
  </si>
  <si>
    <t>Caja de control Pentek 3/4HP</t>
  </si>
  <si>
    <t>Caja de control Pentek 1/2HP</t>
  </si>
  <si>
    <t>Tanque de presión galvanizado Economax Local 120 GLS</t>
  </si>
  <si>
    <t>Tanque de presión galvanizado Economax Local 82 GLS</t>
  </si>
  <si>
    <t>Tanque de presión galvanizado Economax Local 60 GLS</t>
  </si>
  <si>
    <t>Tanque de presión galvanizado Economax Local 40 GLS</t>
  </si>
  <si>
    <t>Motobomba 7.5HP 4"x4" gasolina Evans</t>
  </si>
  <si>
    <t>Motobomba 9.50HP 3"x3" gasolina Evans</t>
  </si>
  <si>
    <t>ELECTRICOS</t>
  </si>
  <si>
    <t>Alambre THHW-/THHN # 1/0, Str.</t>
  </si>
  <si>
    <t>Alambre THHW-/THHN # 2/0, Str.</t>
  </si>
  <si>
    <t>Alambre THHW-/THHN # 3/0, Str.</t>
  </si>
  <si>
    <t>Alambre THHW-/THHN # 4/0, Str.</t>
  </si>
  <si>
    <t>Alambre THHW-/THHN # 2, Str.</t>
  </si>
  <si>
    <t>Alambre THHW-/THHN # 4, Str.</t>
  </si>
  <si>
    <t>Alambre THHW-/THHN # 6, Str.</t>
  </si>
  <si>
    <t>Alambre THHW-/THHN # 8, Str.</t>
  </si>
  <si>
    <t>Alambre THHW-/THHN #10, Str., bco.</t>
  </si>
  <si>
    <t>Alambre THHW-/THHN #12, Str., bco.</t>
  </si>
  <si>
    <t>Alambre THHW-/THHN #14, Str.</t>
  </si>
  <si>
    <t>Alambre milimétrico 1.5mm (#14 Str.)</t>
  </si>
  <si>
    <t>Alambre milimétrico 2.5mm (#12 Str.)</t>
  </si>
  <si>
    <t>Alambre milimétrico 4mm (#10 Str.)</t>
  </si>
  <si>
    <t>Alambre milimétrico 6mm (#8 Str.)</t>
  </si>
  <si>
    <t>Alambre milimétrico 10mm (#6 Str.)</t>
  </si>
  <si>
    <t>Alambre milimétrico 16mm (#4 Str.)</t>
  </si>
  <si>
    <t>Alambre milimétrico 25mm (#2 Str.)</t>
  </si>
  <si>
    <t>Alambre Goma No. 14 x 2</t>
  </si>
  <si>
    <t>Alambre Goma No. 14 x 3</t>
  </si>
  <si>
    <t>Alambre Goma No. 14 x 4</t>
  </si>
  <si>
    <t>Alambre Goma No. 12 x 2</t>
  </si>
  <si>
    <t>Alambre Goma No. 12 x 3</t>
  </si>
  <si>
    <t>Alambre Goma No. 12 x 4</t>
  </si>
  <si>
    <t>Alambre Goma No. 10 x 2</t>
  </si>
  <si>
    <t>Alambre Goma No. 10 x 3</t>
  </si>
  <si>
    <t>Alambre Goma No. 10 x 4</t>
  </si>
  <si>
    <t>Alambre Goma No. 8 x 2</t>
  </si>
  <si>
    <t>Alambre Goma No. 8 x 3</t>
  </si>
  <si>
    <t>Alambre Goma No. 8 x 4</t>
  </si>
  <si>
    <t>Alambre duplo #20, Str.</t>
  </si>
  <si>
    <t>Alambre duplo #18, Str.</t>
  </si>
  <si>
    <t>Alambre duplo #16, Str.</t>
  </si>
  <si>
    <t>Alambre duplo #14, Str.</t>
  </si>
  <si>
    <t>Alambre duplo #12, Str.</t>
  </si>
  <si>
    <t>Alambre duplo #10, Str.</t>
  </si>
  <si>
    <t>Alambre Vinil UF No. 14 x 2</t>
  </si>
  <si>
    <t>Alambre Vinil UF No. 14 x 3</t>
  </si>
  <si>
    <t>Alambre Vinil UF No. 12 x 2</t>
  </si>
  <si>
    <t>Alambre Vinil UF No. 12 x 3</t>
  </si>
  <si>
    <t>Alambre Vinil UF No. 10 x 2</t>
  </si>
  <si>
    <t>Alambre Vinil UF No. 10 x 3</t>
  </si>
  <si>
    <t>Alambre Vinil UF No. 8 x 2</t>
  </si>
  <si>
    <t>Alambre Vinil UF No. 8 x 3</t>
  </si>
  <si>
    <t>Alambre Coaxial RG-59</t>
  </si>
  <si>
    <t>Alambre UTP CAT. 6</t>
  </si>
  <si>
    <t>Alambre para teléfono 4 hilos 2x2/24</t>
  </si>
  <si>
    <t>Bombillo 23 w. bajo consumo</t>
  </si>
  <si>
    <t>Breakers 1 ph, 15  amp, GE</t>
  </si>
  <si>
    <t>Breakers 1 ph, 20  amp, GE</t>
  </si>
  <si>
    <t>Breakers 1 ph, 30  amp, GE</t>
  </si>
  <si>
    <t>Breakers 2 ph, 40 amp, doble, GE</t>
  </si>
  <si>
    <t>Breakers 2 ph, 60 amp, doble, GE</t>
  </si>
  <si>
    <t>Caja octagonal de ½-¾", americana</t>
  </si>
  <si>
    <t>Caja metal 2"x4" de ½", americana</t>
  </si>
  <si>
    <t>Caja metal 2"x4" de ¾", americana</t>
  </si>
  <si>
    <t>Caja metal 4"x4" de ½-¾", americana</t>
  </si>
  <si>
    <t>Caja suplemento metal octagonal 3/4"</t>
  </si>
  <si>
    <t>Caja metal octagonal USA 1/2"-3/4"</t>
  </si>
  <si>
    <t>Registro metal 5"x5" USA 1/2"-3/4"</t>
  </si>
  <si>
    <t>Registro metal 10"x6"x4"</t>
  </si>
  <si>
    <t>Registro metal 10"x10"x4"</t>
  </si>
  <si>
    <t>Registro metal 10"x10"x6"</t>
  </si>
  <si>
    <t>Registro metal 15"x12"x4"</t>
  </si>
  <si>
    <t>Registro metal 15"x12"x6"</t>
  </si>
  <si>
    <t>Registro 12"x12"x6" NEMA</t>
  </si>
  <si>
    <t>Cinta adhesiva "3M" (rollo)</t>
  </si>
  <si>
    <t>Codo pvc eléctrico ½" x 90º</t>
  </si>
  <si>
    <t>Codo pvc eléctrico ¾" x 90º</t>
  </si>
  <si>
    <t>Codo pvc eléctrico 1" x 90º</t>
  </si>
  <si>
    <t>Codo pvc eléctrico 1 ½" x 90º</t>
  </si>
  <si>
    <t>Codo pvc eléctrico 2" x 90º</t>
  </si>
  <si>
    <t>Codo pvc eléctrico 3" x 90º</t>
  </si>
  <si>
    <t>Codo pvc eléctrico 4" x 90º</t>
  </si>
  <si>
    <t>Tubería Conduflex 1/2"</t>
  </si>
  <si>
    <t>Tubería Conduflex 3/4"</t>
  </si>
  <si>
    <t>Tubería Conduflex 1"</t>
  </si>
  <si>
    <t>Tubería Liquid Tight LT 1/2"</t>
  </si>
  <si>
    <t>Tubería Liquid Tight LT 3/4"</t>
  </si>
  <si>
    <t>Tubería Liquid Tight LT 1"</t>
  </si>
  <si>
    <t>Tubería Liquid Tight LT 1-1/2"</t>
  </si>
  <si>
    <t>Tubería EMT 1/2" X 10 pies</t>
  </si>
  <si>
    <t>Tubería EMT 3/4" X 10 pies</t>
  </si>
  <si>
    <t>Tubería EMT 1" X 10 pies</t>
  </si>
  <si>
    <t>Tubería EMT 1 - 1/2" X 10 pies</t>
  </si>
  <si>
    <t>Tubería EMT 2" X 10 pies</t>
  </si>
  <si>
    <t>Tubería EMT 3" X 10 pies</t>
  </si>
  <si>
    <t>Tubería EMT 4" X 10 pies</t>
  </si>
  <si>
    <t>Abrazadera ½" EMT</t>
  </si>
  <si>
    <t>Abrazadera 3/4" EMT</t>
  </si>
  <si>
    <t>Abrazadera 1" EMT</t>
  </si>
  <si>
    <t>Abrazadera 1½" EMT</t>
  </si>
  <si>
    <t>Abrazadera 2" EMT</t>
  </si>
  <si>
    <t>Abrazadera 3" EMT</t>
  </si>
  <si>
    <t>Abrazadera 4" EMT</t>
  </si>
  <si>
    <t>Conector Recto EMT 1/2"</t>
  </si>
  <si>
    <t>Conector Recto EMT 3/4"</t>
  </si>
  <si>
    <t>Conector Recto EMT 1"</t>
  </si>
  <si>
    <t>Conector Recto EMT 1-1/2"</t>
  </si>
  <si>
    <t>Conector Recto EMT 2"</t>
  </si>
  <si>
    <t>Conector Recto EMT 3"</t>
  </si>
  <si>
    <t>Conector Recto EMT 4"</t>
  </si>
  <si>
    <t>Coupling EMT 1/2"</t>
  </si>
  <si>
    <t>Coupling EMT 3/4"</t>
  </si>
  <si>
    <t>Coupling EMT 1"</t>
  </si>
  <si>
    <t>Coupling EMT 1-1/2"</t>
  </si>
  <si>
    <t>Coupling EMT 2"</t>
  </si>
  <si>
    <t>Curva EMT ½"</t>
  </si>
  <si>
    <t>Curva EMT ¾"</t>
  </si>
  <si>
    <t>Curva EMT  1"</t>
  </si>
  <si>
    <t>Curva EMT 1 ½"</t>
  </si>
  <si>
    <t>Curva EMT  2"</t>
  </si>
  <si>
    <t>Curva EMT  3"</t>
  </si>
  <si>
    <t>Roseta Leviton 9875, porcelana americana</t>
  </si>
  <si>
    <t>Lámpara tipo secador con bombillo bajo consumo 65W</t>
  </si>
  <si>
    <t>Panel Distribución 2 Espacios, 1 PH GE</t>
  </si>
  <si>
    <t>Panel Distribución 4 Espacios, 1 PH GE</t>
  </si>
  <si>
    <t>Panel Distribución 6 Espacios, 1 PH GE</t>
  </si>
  <si>
    <t>Panel Distribución 8 Espacios, 1  PH GE</t>
  </si>
  <si>
    <t>Panel Distribución 12 Espacios, 1  PH GE</t>
  </si>
  <si>
    <t>Panel Distribución 16 Espacios, 1PH GE</t>
  </si>
  <si>
    <t>Panel Distribución 24 Espacios, 1 PH GE</t>
  </si>
  <si>
    <t>Panel Distribución32 Espacios, 1  PH GE</t>
  </si>
  <si>
    <t>Transformador 225 kva, Pad Mounted, 7200, 120/204/240 v.</t>
  </si>
  <si>
    <t>ACCESORIOS ELÉCTRICOS</t>
  </si>
  <si>
    <t>Accesorio Tapa interruptor sencillo Leviton línea CIEN</t>
  </si>
  <si>
    <t>Accesorio Tapa interruptor doble Leviton línea CIEN</t>
  </si>
  <si>
    <t>Accesorio Tapa interruptor Triple Leviton línea CIEN</t>
  </si>
  <si>
    <t>Accesorio Tapa interruptor Tres vías sencillo Leviton línea CIEN</t>
  </si>
  <si>
    <t>Accesorio Tapa interruptor Tres vías doble Leviton línea CIEN</t>
  </si>
  <si>
    <t>Accesorio Tapa Tomacorriente Doble 110 V Leviton línea CIEN</t>
  </si>
  <si>
    <t>Accesorio Tapa Tomacorriente Sencillo 220 V Leviton línea CIEN</t>
  </si>
  <si>
    <t>Accesorio Tapa interruptor piloto calentador Leviton línea CIEN</t>
  </si>
  <si>
    <t>Accesorio Toma TV sencilla Leviton línea CIEN</t>
  </si>
  <si>
    <t>Accesorio Toma Teléfono/Data RJ112 Leviton línea CIEN</t>
  </si>
  <si>
    <t>Accesorio Tapa Ciega Leviton línea CIEN</t>
  </si>
  <si>
    <t>Botón timbre Leviton línea CIEN</t>
  </si>
  <si>
    <t>Accesorio Tapa interruptor sencillo Bticino línea Modus Style</t>
  </si>
  <si>
    <t>Accesorio Tapa interruptor doble Bticino línea Modus Style</t>
  </si>
  <si>
    <t>Accesorio Tapa interruptor Triple Bticino línea Modus Style</t>
  </si>
  <si>
    <t>Accesorio Tapa interruptor Tres vías sencillo Bticino línea Modus Style</t>
  </si>
  <si>
    <t>Accesorio Tapa interruptor Tres vías doble Bticino línea Modus Style</t>
  </si>
  <si>
    <t>Accesorio Tapa interruptor cuatro vías Bticino línea Modus Style</t>
  </si>
  <si>
    <t>Accesorio Tapa Tomacorriente Doble 110 V Bticino línea Modus Style</t>
  </si>
  <si>
    <t>Accesorio Tapa Tomacorriente Sencillo 220 V Bticino línea Modus Style</t>
  </si>
  <si>
    <t>Accesorio Tapa interruptor piloto calentador Bticino línea Modus Style</t>
  </si>
  <si>
    <t>Accesorio Toma TV sencilla Bticino línea Modus Style</t>
  </si>
  <si>
    <t>Accesorio Toma Teléfono/Data RJ112 Bticino línea Modus Style</t>
  </si>
  <si>
    <t>Accesorio Tapa Ciega Bticino Bticino línea Modus Style</t>
  </si>
  <si>
    <t xml:space="preserve">Botón timbre Bticino </t>
  </si>
  <si>
    <t>Accesorio Interruptor sencillo Bticino Linea Matix (completo)</t>
  </si>
  <si>
    <t>Accesorio Interruptor doble Bticino Linea Matix (completo)</t>
  </si>
  <si>
    <t>Accesorio Interruptor triple Bticino Linea Matix (completo)</t>
  </si>
  <si>
    <t>Accesorio Interruptor 3W sencillo Bticino Linea Matix (completo)</t>
  </si>
  <si>
    <t>Accesorio Interruptor 3W doble Bticino Linea Matix (completo)</t>
  </si>
  <si>
    <t>Acc. tomacorriente doble 110V Bticino Linea Matix (completo)</t>
  </si>
  <si>
    <t>Accesorio tomacorriente 220V Bticino Linea Matix (completo)</t>
  </si>
  <si>
    <t>Acc. tomacorriente 220V Bticino Linea Matix (completo)</t>
  </si>
  <si>
    <t>Accesorio pulsador timbre Bticino Línea Matix (completo)</t>
  </si>
  <si>
    <t>Accesorio conector teléfono RJ11 Bticino Línea Matix (completo)</t>
  </si>
  <si>
    <t>Accesorio conector data RJ45 Bticino Línea Matix (completo)</t>
  </si>
  <si>
    <t>Accesorio salida cable TV Bticino Línea Matix (completo)</t>
  </si>
  <si>
    <t>Accesorio Placa Bticino Línea Matix (no completo)</t>
  </si>
  <si>
    <t>Accesorio Soporte Bticino Línea Matix (no completo)</t>
  </si>
  <si>
    <t>Accesorio módulo ciego Bticino Línea Matix (no completo)</t>
  </si>
  <si>
    <t>Accesorio Switch sencillo interruptor Bticino Línea Matix (no completo)</t>
  </si>
  <si>
    <t>Accesorio Switch sencillo 3W interruptor Bticino Línea Matix (no completo)</t>
  </si>
  <si>
    <t>Accesorio tomacorriente doble 110V Bticino Línea Matix (no completo)</t>
  </si>
  <si>
    <t>Accesorio tomacorriente 220V Bticino Línea Matix (no completo)</t>
  </si>
  <si>
    <t>Accesorio pulsador timbre Bticino Línea Matix (no completo)</t>
  </si>
  <si>
    <t>Accesorio conector teléfono RJ11 Bticino Línea Matix (no completo)</t>
  </si>
  <si>
    <t>Accesorio conector data RJ45 Bticino Línea Matix (no completo)</t>
  </si>
  <si>
    <t>Accesorio salida cable TV Bticino Línea Matix (no completo)</t>
  </si>
  <si>
    <t xml:space="preserve">ILUMINACION COMERCIAL </t>
  </si>
  <si>
    <t>Lampara empotrada Led 3" 6W 3000k AM  Cuadrada</t>
  </si>
  <si>
    <t xml:space="preserve">Lampara empotrada Led 3" 3W 3000k AM   </t>
  </si>
  <si>
    <t>Lampara empotrada Led 3" 3W 3000k DIM</t>
  </si>
  <si>
    <t xml:space="preserve">Lampara empotrada Led 3" 3W 4200k MED  </t>
  </si>
  <si>
    <t>Lampara empotrada Led 3" 3W 6500k Blanca</t>
  </si>
  <si>
    <t>Lampara empotrada Led 3" 5W 3000k Am</t>
  </si>
  <si>
    <t>Lampara empotrada Led 3" 5W 4200k Med</t>
  </si>
  <si>
    <t>Lampara empotrada Led 3" 5W 6500k Blanca</t>
  </si>
  <si>
    <t>Lampara empotrada Led 4" 12W 3000k Am</t>
  </si>
  <si>
    <t>Lampara empotrada Led 4" 12W 4200k Med</t>
  </si>
  <si>
    <t>Lampara empotrada Led 6" 18W 3000k Am</t>
  </si>
  <si>
    <t>Lampara empotrada Led 6" 18W 4200k Med</t>
  </si>
  <si>
    <t>Lampara empotrada Led 6" 18W 6500k Blanca</t>
  </si>
  <si>
    <t>Lampara empotrada Led 6" 18W 6500k Blanca cuadrada</t>
  </si>
  <si>
    <t xml:space="preserve">Lampara de riel Led 3" 20W 6500k Blanca </t>
  </si>
  <si>
    <t xml:space="preserve">Lampara de riel Led 3" 40W 6500k Blanca </t>
  </si>
  <si>
    <t>Riel para lampara 1.5mts. Blanco</t>
  </si>
  <si>
    <t>FORMALETAS</t>
  </si>
  <si>
    <t>Alquiler sistema completo formaleta acero-madera por superficie de contacto</t>
  </si>
  <si>
    <t>M2/MES</t>
  </si>
  <si>
    <t>Sistema completo formaletas acero-madera por superficie contacto (Compra)</t>
  </si>
  <si>
    <t>Sistema completo formaletas aluminio por superficie de contacto (Compra)</t>
  </si>
  <si>
    <t>M2/USO</t>
  </si>
  <si>
    <t>Sistema de formaletas todo costo, incluye coloc. Formaletas, mallas, consumibles, resanes, tablones y transporte por unidad de área en PLANTA</t>
  </si>
  <si>
    <t>Porta corbatas para formaletas acero-madera - Rollo 250ML</t>
  </si>
  <si>
    <t>Porta corbatas para formaletas aluminio - Rollo 550ML</t>
  </si>
  <si>
    <t>Desmoldante en base de aceite - Tanque 55 gals</t>
  </si>
  <si>
    <t>Separadores de malla</t>
  </si>
  <si>
    <t xml:space="preserve">Virutas para limpieza formaletas aluminio - Caja </t>
  </si>
  <si>
    <t>Transporte sistema de formaletas en ciudad</t>
  </si>
  <si>
    <t>PANELES POLIESTIRENO EXPANDIDO REFORZADOS</t>
  </si>
  <si>
    <t>Panel de Poliestireno expandido reforzado de ancho 1.20m por e=0.06m</t>
  </si>
  <si>
    <t>Panel de Poliestireno expandido reforzado de ancho 1.20m por e=0.08m</t>
  </si>
  <si>
    <t>Panel de Poliestireno expandido reforzado de ancho 1.20m por e=0.10m</t>
  </si>
  <si>
    <t>Panel de Poliestireno expandido reforzado de ancho 1.20m por e=0.12m</t>
  </si>
  <si>
    <t>Panel de Poliestireno expandido reforzado de ancho 1.20m por e=0.15m</t>
  </si>
  <si>
    <t>Instalación de paneles poliestireno expandido a Todo Costo, Incluye replanteo, instalación panel, revoque 2.5cms proyectado, materiales, etc.</t>
  </si>
  <si>
    <t>MALLA CICLONICA</t>
  </si>
  <si>
    <t xml:space="preserve">Malla ciclónica 6 pies cal. 9 </t>
  </si>
  <si>
    <t>Malla ciclónica 4 pies cal. 9</t>
  </si>
  <si>
    <t>Malla ciclónica 6 pies cal. 9 plástica</t>
  </si>
  <si>
    <t>Malla ciclónica 4 pies cal. 9 plástica</t>
  </si>
  <si>
    <t>Tubo Hierro Galvanizado Ligero 1-1/2" x 15pies</t>
  </si>
  <si>
    <t>Tubo Hierro Galvanizado Ligero 1-1/4" x 20pies</t>
  </si>
  <si>
    <t>Copa en H.G. 1-1/2"</t>
  </si>
  <si>
    <t>Abrazaderas de 1-1/2"</t>
  </si>
  <si>
    <t>Terminales de 1-1/2"</t>
  </si>
  <si>
    <t>Alambre de trinchera Galvanizado 33 aros 17" de 3.00m</t>
  </si>
  <si>
    <t>Alambre de púas cal. 16 - Rollo 250m</t>
  </si>
  <si>
    <t>Palometa doble H.G. para alambre trinchera</t>
  </si>
  <si>
    <t xml:space="preserve">Palometa sencilla H.G. para alambre púas </t>
  </si>
  <si>
    <t>MUROS DE GAVIONES</t>
  </si>
  <si>
    <t>Rollo para gaviones doble torsión Mcaferri 2x50m 2.4mm</t>
  </si>
  <si>
    <t>PISOS, TILE DE MADERA, PISO SPORT, VINYL</t>
  </si>
  <si>
    <t>Adoquín Barahona gris</t>
  </si>
  <si>
    <t>Cerámica Europea Económica 0.30x0.30m</t>
  </si>
  <si>
    <t>Cerámica Importada buena calidad 0.40x0.40m</t>
  </si>
  <si>
    <t>Cerámica Importada de primera 0.30x0.60m</t>
  </si>
  <si>
    <t>Cerámica Importada para exteriores 0.40x0.40m</t>
  </si>
  <si>
    <t>Granito Fondo Gris 30x30 - Escuelas</t>
  </si>
  <si>
    <t>Granito Fondo Blanco 30x30</t>
  </si>
  <si>
    <t>Porcelanato Chino 50x50 Antimanchas</t>
  </si>
  <si>
    <t>Mármol travertino importado mate 0.40x0.40m</t>
  </si>
  <si>
    <t>Mármol crema marfil importado pulido 0.40x0.40m</t>
  </si>
  <si>
    <t>Mármol crema marfil importado pulido 0.60x0.60m</t>
  </si>
  <si>
    <t>Mármol crema marfil importado bruto 0.40x0.40m</t>
  </si>
  <si>
    <t>Tile  de madera Café  300mm x 300mm x 22mm</t>
  </si>
  <si>
    <t>Tile  de madera Cedro  300mm x 300mm x 22mm</t>
  </si>
  <si>
    <t>Tile  de madera Gris oscuro  300mm x 300mm x 22mm</t>
  </si>
  <si>
    <t>Piso sport negro-blanco  1m X 1m x1/4"</t>
  </si>
  <si>
    <t>Piso sport negro-blanco 1m X 10m x1/4" - rollo</t>
  </si>
  <si>
    <t>Decoblu luxury vinyl tile - Dry back-  3mm x 184mm x 950mm</t>
  </si>
  <si>
    <t>Decoblu luxury vinyl tile - Click  4.3mm x176mm x 940mm</t>
  </si>
  <si>
    <t>Estopa (1 lb. / 20 m2)</t>
  </si>
  <si>
    <t>Corte de chazos con máquina</t>
  </si>
  <si>
    <t>Pulido y Cristalizado de pisos</t>
  </si>
  <si>
    <t>Cristalizado y lavado de pisos</t>
  </si>
  <si>
    <t>Derretido KeraColor 25Lbs</t>
  </si>
  <si>
    <t>ESCALONES</t>
  </si>
  <si>
    <t>Huella redondeada 0.30m Granito Fdo Gris - Escuelas</t>
  </si>
  <si>
    <t>Contrahuella de 0.17m Granito Fondo Gris - Escuelas</t>
  </si>
  <si>
    <t>Huella redondeada 0.30m Granito Fdo blanco - Escuelas</t>
  </si>
  <si>
    <t>Contrahuella de 0.17m Granito Fondo blanco - Escuelas</t>
  </si>
  <si>
    <t xml:space="preserve">Huella de 0.30m Porcelanato oriental </t>
  </si>
  <si>
    <t>Contrahuella de 0.17m Porcelanato oriental</t>
  </si>
  <si>
    <t>Huella de 0.30m Porcelanato Romano</t>
  </si>
  <si>
    <t>Contrahuella de 0.17m Porcelanato Romano</t>
  </si>
  <si>
    <t>PUERTAS</t>
  </si>
  <si>
    <t>Puerta Panel Polimetálico 0.70-0.90 x 2.10m con marco s/llavín</t>
  </si>
  <si>
    <t>Puerta Panel Polimetálico 0.95-1.10 x 2.10m con marco s/llavín</t>
  </si>
  <si>
    <t>Puerta PVC Blanco 0.70-0.90 x 2.10m con marco s/llavín</t>
  </si>
  <si>
    <t>Puerta Panelada Pino tratado 0.90 x 2.10m con marco</t>
  </si>
  <si>
    <t>Puerta panel en Andiroba 0.70-0.90x2.10m interior c/marco</t>
  </si>
  <si>
    <t>Puerta panel en Jequitibia 0.70-0.90x2.10m interior c/marco</t>
  </si>
  <si>
    <t>Puerta panel en Caoba 0.70-0.90x2.10m interior c/marco</t>
  </si>
  <si>
    <t>Puerta panel Roble africano 0.70-0.90x2.10m int. c/marco</t>
  </si>
  <si>
    <t>Puerta panel en Roble 0.70-0.90x2.10m interior c/marco</t>
  </si>
  <si>
    <t>Puerta panel en Jequitibia 0.90/1.00x2.10m Principal  c/marco</t>
  </si>
  <si>
    <t>Puerta panel Andiroba 0.90-1.00x2.10m Principal c/marco</t>
  </si>
  <si>
    <t>Puerta panel en Caoba 0.90-1.00x2.10m Principal c/marco</t>
  </si>
  <si>
    <t>Puerta panel Roble 0.90-1.00x2.10m Principal c/marco</t>
  </si>
  <si>
    <t>Puertas para closet apanaledas en Andiroba</t>
  </si>
  <si>
    <t>Puertas para closet apanaledas en Caoba</t>
  </si>
  <si>
    <t>Llavin Stanley buena calidad</t>
  </si>
  <si>
    <t>Llavin corriente</t>
  </si>
  <si>
    <t>Cerradura Yale Bolton con llave plata/bronce</t>
  </si>
  <si>
    <t>Cerradura Yale Bolton sin llave  plata/bronce</t>
  </si>
  <si>
    <t>Cerradura Yale Aston tipo manija con llave color plata</t>
  </si>
  <si>
    <t>Cerradura Yale Aston tipo manija con llave color bronce</t>
  </si>
  <si>
    <t xml:space="preserve">Cerradura Yale Kent tipo pomo color plata </t>
  </si>
  <si>
    <t>Cerradura Yale Kent tipo pomo color bronce</t>
  </si>
  <si>
    <t>Bisagras 3-1/2" x 3-1/2"</t>
  </si>
  <si>
    <t>PAR</t>
  </si>
  <si>
    <t>Bisagras 2-1/2" x 2-1/2"</t>
  </si>
  <si>
    <t>Tiradores para puertas de closets</t>
  </si>
  <si>
    <t>PUERTAS COMERCIALES - TODO COSTO</t>
  </si>
  <si>
    <t>Puerta comercial aluminio blanco y vidrio claro Perfil Tradicional</t>
  </si>
  <si>
    <t>Puerta comercial aluminio bronce y vidrio bronce Perfil Tradicional</t>
  </si>
  <si>
    <t>Puerta comercial de vidrio flotante templado claro</t>
  </si>
  <si>
    <t>PUERTAS COMERCIALES - SOLO SUMINISTRO</t>
  </si>
  <si>
    <t>VENTANAS - TODO COSTO</t>
  </si>
  <si>
    <t>Ventana salomónica aluminio blanco AA</t>
  </si>
  <si>
    <t>Ventana salomónica aluminio y vidiro bronce</t>
  </si>
  <si>
    <t>Ventana corredera aluminio y vidrio 3/16" Perfil Tradicional</t>
  </si>
  <si>
    <t>Ventana corredera aluminio y vidrio claro 3/16" Perfil P65</t>
  </si>
  <si>
    <t>Ventana corredera aluminio y vidrio claro 3/16" Perfil P92</t>
  </si>
  <si>
    <t>Ventana proyectada aluminio y vidrio Perfiles P40</t>
  </si>
  <si>
    <t>VENTANAS - SOLO SUMINISTRO</t>
  </si>
  <si>
    <t>COCINAS - TODO COSTO</t>
  </si>
  <si>
    <t>Cocina modular económica Mekka en melamina, todo costo - Roble, caoba o colores (gabinete piso y pared), sin tope</t>
  </si>
  <si>
    <t>Cocina modular europea modelo Quadra Glan Varios colores -  Todo costo (gabinete piso y pared), sin tope</t>
  </si>
  <si>
    <t>Gabinetes de pared en caoba h=2pies, todo costo</t>
  </si>
  <si>
    <t>Gabinetes de piso en caoba h=2pies, todo costo</t>
  </si>
  <si>
    <t>Gabinetes de pared en andiroba h=2pies, todo costo</t>
  </si>
  <si>
    <t>Gabinetes de piso en andiroba h=2pies, todo costo</t>
  </si>
  <si>
    <t>Tope en marmolite, todo costo</t>
  </si>
  <si>
    <t>Tope en granito natural brasil, todo costo</t>
  </si>
  <si>
    <t>Tope en granito natural chino, todo costo</t>
  </si>
  <si>
    <t>Tope en mármol para cocina, todo costo</t>
  </si>
  <si>
    <t>Tope en Silestone, todo costo</t>
  </si>
  <si>
    <t>REVESTIMIENTO  DE SUPERFICIES</t>
  </si>
  <si>
    <t>Cerámica europea económica 0.30m x 0.60m</t>
  </si>
  <si>
    <t>Cerámica europea intermedia 0.30m x 0.60m</t>
  </si>
  <si>
    <t>Cerámica europea buena calidad 0.30m x 0.60m</t>
  </si>
  <si>
    <t>Piedra coralina bicelada</t>
  </si>
  <si>
    <t>Separadores para colocación de cerámica 300unds</t>
  </si>
  <si>
    <t>Moldura (Esquinero) para cerámica en PVC 3/8" x 8 pies</t>
  </si>
  <si>
    <t>ASCENSORES</t>
  </si>
  <si>
    <t>Ascensor Mitsubishi Nexiez-GPX 6 paradas 8 personas - Suministro e instalación Todo Costo</t>
  </si>
  <si>
    <t>PLANTAS ELECTRICAS</t>
  </si>
  <si>
    <t>Planta Eléctrica HONDA 6.00KW</t>
  </si>
  <si>
    <t>Planta Eléctrica Power Generation 10KW</t>
  </si>
  <si>
    <t xml:space="preserve">Planta Eléctrica Power Generation 40KW monof. </t>
  </si>
  <si>
    <t xml:space="preserve">Planta Eléctrica Power Generation 150KW  </t>
  </si>
  <si>
    <t>OFICINAS Y BAÑOS MOVILES - ALQUILERES</t>
  </si>
  <si>
    <t>Furgón oficina 20 pies en piso</t>
  </si>
  <si>
    <t>Furgón oficina 40 pies en piso</t>
  </si>
  <si>
    <t>Furgón oficina 40 pies sobre chasis con baño</t>
  </si>
  <si>
    <t>Baño con mantenimiento incluido</t>
  </si>
  <si>
    <t>Trasnporte furgón oficina Sto. Dgo. Ida y vuelta</t>
  </si>
  <si>
    <t>JARDINERIA</t>
  </si>
  <si>
    <t>Cesped sintético Sport y Jardín 60 mm - 6.5´ x 50´</t>
  </si>
  <si>
    <t>Cesped sintético Sport y Jardín 60 mm - 13´ x 50´</t>
  </si>
  <si>
    <t>Cesped sintético Sport y Jardín 60 mm - 6.5´ x 20´ Color blanca</t>
  </si>
  <si>
    <t>Cesped sintético Sport y Jardín 10 mm - 6.5´ x 82´</t>
  </si>
  <si>
    <t>Cesped sintético Sport y Jardín 10 mm - 13´ x 82´</t>
  </si>
  <si>
    <t>Cesped sintético Landscaping jardín 35 mm - 6.5´ x 50´</t>
  </si>
  <si>
    <t>Cesped sintético Landscaping jardín 35 mm - 13´ x 50´</t>
  </si>
  <si>
    <t>Cesped sintético Landscaping jardín 20 mm - 6.5´ x 50´</t>
  </si>
  <si>
    <t>Cesped sintético Landscaping jardín 20 mm - 13´ x 50´</t>
  </si>
  <si>
    <t>Cesped sintético sport-Golf-jardín 15 mm - 6.5´ x 50´</t>
  </si>
  <si>
    <t>Cesped sintético sport-Golf-jardín 15 mm - 13´ x 50´</t>
  </si>
  <si>
    <t>Grama tipo bermuda sembrada - Todo Costo</t>
  </si>
  <si>
    <t>Coralillos enanos - Suministro</t>
  </si>
  <si>
    <t>Palitos chinos - Suministro</t>
  </si>
  <si>
    <t>Iris Blanca - Suministro</t>
  </si>
  <si>
    <t>Crotos Enanos - Suministro</t>
  </si>
  <si>
    <t>Palma Cyca Revoluta - Suministro</t>
  </si>
  <si>
    <t>Palma Robelina - Suministro</t>
  </si>
  <si>
    <t>Palma Manila - Suministro</t>
  </si>
  <si>
    <t>COSTO POR M2</t>
  </si>
  <si>
    <t>DISEÑOS PARA LA CONSTRUCCION</t>
  </si>
  <si>
    <t>MIN</t>
  </si>
  <si>
    <t>Diseño Estructural Residencial - Institucional</t>
  </si>
  <si>
    <t>Diseño Sanitario Residencial - Institucional</t>
  </si>
  <si>
    <t>Diseño Eléctrico Residencial - Institucional</t>
  </si>
  <si>
    <t>Diseño de Climatización Residencial - Institucional</t>
  </si>
  <si>
    <t>Presupuesto General de Obra Residencial - Institucional</t>
  </si>
  <si>
    <t>PU</t>
  </si>
  <si>
    <t>Topografia</t>
  </si>
  <si>
    <t>Visita</t>
  </si>
  <si>
    <t>Fumigacion</t>
  </si>
  <si>
    <t>Caseta de materiales</t>
  </si>
  <si>
    <t>MOVIMIENTO DE TIERRA</t>
  </si>
  <si>
    <t xml:space="preserve">Adecuacion de Terreno </t>
  </si>
  <si>
    <t>pa</t>
  </si>
  <si>
    <t>uds</t>
  </si>
  <si>
    <t>Hr</t>
  </si>
  <si>
    <t>Suministro de material relleno</t>
  </si>
  <si>
    <t>Transporte Material relleno (Mina 25kms)</t>
  </si>
  <si>
    <t>M3E-KM</t>
  </si>
  <si>
    <t>Regado y nivelado con Motonivelador CAT12H</t>
  </si>
  <si>
    <t>Terminación de superficie Motonivelador CAT12H</t>
  </si>
  <si>
    <t>Compactación con Rodillo IR SD100-D</t>
  </si>
  <si>
    <t>Camión de agua 2,000 GLS</t>
  </si>
  <si>
    <t>Tranporte Ida y Vuelta interno Motoniveladora</t>
  </si>
  <si>
    <t>Tranporte Ida y Vuelta interno Rodillo</t>
  </si>
  <si>
    <t>Brigada Topográfica</t>
  </si>
  <si>
    <t>Boleros - Ayudantes</t>
  </si>
  <si>
    <t>carguio</t>
  </si>
  <si>
    <t>m3e-km</t>
  </si>
  <si>
    <t>Costo / M3E-Km 0 - 5 km</t>
  </si>
  <si>
    <t xml:space="preserve">Costo / M3E-Km 5 - 10 km </t>
  </si>
  <si>
    <t>HORMIGON ARMADO</t>
  </si>
  <si>
    <t xml:space="preserve">m3 </t>
  </si>
  <si>
    <t>Hormigon industrial 210kg/cm2</t>
  </si>
  <si>
    <t xml:space="preserve">Acero </t>
  </si>
  <si>
    <t>qq</t>
  </si>
  <si>
    <t>Alambre</t>
  </si>
  <si>
    <t>lbs</t>
  </si>
  <si>
    <t>Mano de Obra Acero</t>
  </si>
  <si>
    <t>Encofrado</t>
  </si>
  <si>
    <t>Hormigon industrial 180kg/cm2</t>
  </si>
  <si>
    <t>rollo</t>
  </si>
  <si>
    <t>Colocacion de malla</t>
  </si>
  <si>
    <t>Suministro bloques horm. +4% desp.</t>
  </si>
  <si>
    <t>Hormigón 1:3:5 en cámaras +10% desp.</t>
  </si>
  <si>
    <t>Mortero 1:3  en juntas + 30% desp.</t>
  </si>
  <si>
    <t>Acero bastones 3/8" + 20% desp.</t>
  </si>
  <si>
    <t>Alambre Dulce No. 18 para amarrar bastones</t>
  </si>
  <si>
    <t>Andamios</t>
  </si>
  <si>
    <t>Colocación bloques y acero</t>
  </si>
  <si>
    <t>Mortero 1:4 de empañete 1.50mm + 50% desp.</t>
  </si>
  <si>
    <t>Regla madera americana cepillada 1"x4" / 20 usos</t>
  </si>
  <si>
    <t>Mano de obra fraguache</t>
  </si>
  <si>
    <t>Andamios en madera</t>
  </si>
  <si>
    <t xml:space="preserve">Mano de obra empañete </t>
  </si>
  <si>
    <t>Mano de obra empañete interior</t>
  </si>
  <si>
    <t>Mano de obra empañete</t>
  </si>
  <si>
    <t>Mortero 1:4 para empañete + 10% desp.</t>
  </si>
  <si>
    <t>Regla madera americana cepillada 1"x4" / 4 usos</t>
  </si>
  <si>
    <t>Mano de obra canto</t>
  </si>
  <si>
    <t>Suministro pintura</t>
  </si>
  <si>
    <t>Preparación de superficie y aplicación 2 manos</t>
  </si>
  <si>
    <t>Desperdicios y retoques</t>
  </si>
  <si>
    <t>Mortero 1:10 pisos + 10% desp.</t>
  </si>
  <si>
    <t>Derretido Keracolor 25 lbs + 10% desp.</t>
  </si>
  <si>
    <t>Estopa</t>
  </si>
  <si>
    <t>Transporte de pisos (3%)</t>
  </si>
  <si>
    <t>Mano de Obra de colocación zócalos</t>
  </si>
  <si>
    <t>Pulido</t>
  </si>
  <si>
    <t>REVESTIMIENTOS EN BAÑOS</t>
  </si>
  <si>
    <t>Pegamento de cerámica Pegatod</t>
  </si>
  <si>
    <t>Cemento gris</t>
  </si>
  <si>
    <t xml:space="preserve">Estopa </t>
  </si>
  <si>
    <t xml:space="preserve">Corte de Chazos </t>
  </si>
  <si>
    <t>Separadores de cerámica</t>
  </si>
  <si>
    <t>Transporte de cerámicas (3%)</t>
  </si>
  <si>
    <t>Mano de Obra de colocación de Cerámica</t>
  </si>
  <si>
    <t>TERMINACION EN COCINA</t>
  </si>
  <si>
    <t>Gabinetes de Pared en Pino Tratado</t>
  </si>
  <si>
    <t>pl</t>
  </si>
  <si>
    <t>Gabinetes de Piso en Pino Tratado</t>
  </si>
  <si>
    <t>Mortero 1:3 + 10% desperdicio</t>
  </si>
  <si>
    <t>Mano de obra zabaleta</t>
  </si>
  <si>
    <t>Mano de Obra Subida materiales - Ayudante AY</t>
  </si>
  <si>
    <t>Mortero 1:3 + 10% desp., 5. cm espesor</t>
  </si>
  <si>
    <t>Pino americano cepillado 1"x4"x10' - 10 usos</t>
  </si>
  <si>
    <t>Mano de obra Fino de mezcla</t>
  </si>
  <si>
    <t>Pulido con helicoptero</t>
  </si>
  <si>
    <t>Impermeabilizante en Techo (Lona Asfáltica) 3mm</t>
  </si>
  <si>
    <t>p2</t>
  </si>
  <si>
    <t>INSTALACION SANITARIA</t>
  </si>
  <si>
    <t>Manguera flexible inodoro inox. 3/8" Eastman</t>
  </si>
  <si>
    <t>Junta de Cera</t>
  </si>
  <si>
    <t>Arandela PVC 4"</t>
  </si>
  <si>
    <t>Cemento blanco</t>
  </si>
  <si>
    <t xml:space="preserve">Teflón </t>
  </si>
  <si>
    <t>Salida Agua Potable 1/2" Poliestileno 18mm</t>
  </si>
  <si>
    <t>Salida Sanitaria A.N. 4" Inodoro Aérea</t>
  </si>
  <si>
    <t>Mano de Obra Instalación inodoro</t>
  </si>
  <si>
    <t>Lavamano Sadosa Standard Taino Blanco con pedestal, incluye mano de obra.</t>
  </si>
  <si>
    <t>Manguera flexible lavamanos inox. 3/8" Eastman</t>
  </si>
  <si>
    <t>pedestal</t>
  </si>
  <si>
    <t>Boquilla para lavamanos autom. push button</t>
  </si>
  <si>
    <t>Cola Extensora 1-1/4" PVC</t>
  </si>
  <si>
    <t>Sifón 1-1/4" PVC</t>
  </si>
  <si>
    <t>Reducción 2" a 1-1/4" PVC drenaje</t>
  </si>
  <si>
    <t>Salida Sanitaria A.N. 2" Aérea</t>
  </si>
  <si>
    <t>Mano de Obra Instalación lavamanos</t>
  </si>
  <si>
    <t>Manguera flexible fregadero inox. 3/8" Eastman</t>
  </si>
  <si>
    <t>Boquilla para fregadero cromada</t>
  </si>
  <si>
    <t>Desague Doble para fregadero PVC</t>
  </si>
  <si>
    <t>Silicón antihongos fijación fregadero</t>
  </si>
  <si>
    <t xml:space="preserve">Mano de Obra Instalación fregadero </t>
  </si>
  <si>
    <t>Mano de Obra desague de 2"</t>
  </si>
  <si>
    <t>tubo 3" PVC SDR-41</t>
  </si>
  <si>
    <t>codo PVC drenaje 3" x 90°</t>
  </si>
  <si>
    <t>cemento PVC</t>
  </si>
  <si>
    <t>GLS</t>
  </si>
  <si>
    <t>instalación Ventilación de 3"</t>
  </si>
  <si>
    <t>Carga y bote de material a mano</t>
  </si>
  <si>
    <t>Hormigón 1:3:5 ligado a mano en piso y losa</t>
  </si>
  <si>
    <t>Bloques de 6" (solo suministro)</t>
  </si>
  <si>
    <t>Acero corrugado 3/8"</t>
  </si>
  <si>
    <t>Mortero 1:3 para pañete pulido</t>
  </si>
  <si>
    <t>Tuberias y piezas</t>
  </si>
  <si>
    <t>Excavación a mano</t>
  </si>
  <si>
    <t>Mano de Obra trampa de grasa</t>
  </si>
  <si>
    <t xml:space="preserve">Mano de Obra cámara de inspección </t>
  </si>
  <si>
    <t>Losa de fondo</t>
  </si>
  <si>
    <t>losa de techo</t>
  </si>
  <si>
    <t>perforacion</t>
  </si>
  <si>
    <t>Tuberia</t>
  </si>
  <si>
    <t>INSTALACION ELECTRICA</t>
  </si>
  <si>
    <t>Tubo ½"x19' PVC SDR-26 + 15% desp.</t>
  </si>
  <si>
    <t>Caja octagonal</t>
  </si>
  <si>
    <t>Alambre #12 TW</t>
  </si>
  <si>
    <t>Roseta de porcelana</t>
  </si>
  <si>
    <t>Cinta adhesiva eléctrica 3M (rollo)</t>
  </si>
  <si>
    <t xml:space="preserve">Cemento PVC + 30% desp. </t>
  </si>
  <si>
    <t>Bombillo</t>
  </si>
  <si>
    <t>Und</t>
  </si>
  <si>
    <t>Mano de obra</t>
  </si>
  <si>
    <t>Caja rectangular ½"</t>
  </si>
  <si>
    <t>Accesorio Tapa interruptor sencillo</t>
  </si>
  <si>
    <t>Codo electrico PVC 1/2"</t>
  </si>
  <si>
    <t>Cemento PVC + 30% desp.</t>
  </si>
  <si>
    <t>Accesorio Tapa interruptor doble</t>
  </si>
  <si>
    <t>Alambre #12 TW + 5% desp.</t>
  </si>
  <si>
    <t>Accesorio Tapa Tomacorriente Doble 110 V</t>
  </si>
  <si>
    <t>Alambre dulce No. 18+ 5% desp.</t>
  </si>
  <si>
    <t xml:space="preserve">Accesorio Tapa Ciega </t>
  </si>
  <si>
    <t>Breakers 15 y 20 A.</t>
  </si>
  <si>
    <t>Panel Distribución 12 Espacios</t>
  </si>
  <si>
    <t>Mano de obra  hueco y posicionamiento panel</t>
  </si>
  <si>
    <t>Mano de obra instalación Breakers</t>
  </si>
  <si>
    <t>Alambre THHN #8</t>
  </si>
  <si>
    <t>encofrado</t>
  </si>
  <si>
    <t>PARQUEOS</t>
  </si>
  <si>
    <t>frotado y violiinado</t>
  </si>
  <si>
    <t>Capataz</t>
  </si>
  <si>
    <t>hrs</t>
  </si>
  <si>
    <t>Obero (4)</t>
  </si>
  <si>
    <t>Pico, Pala (2%)</t>
  </si>
  <si>
    <t>Obero (2)</t>
  </si>
  <si>
    <t>Pico, Pala, carretilla (5%)</t>
  </si>
  <si>
    <t>Pico, Pala, carretilla, Compactador (5%)</t>
  </si>
  <si>
    <t>Colocacion</t>
  </si>
  <si>
    <t>Acero 1/2"</t>
  </si>
  <si>
    <t>Acero 3/8"</t>
  </si>
  <si>
    <t>Bloques de 6" 3/8" @0.60</t>
  </si>
  <si>
    <t>Panete</t>
  </si>
  <si>
    <t>Ceramica Alta Calidad</t>
  </si>
  <si>
    <t xml:space="preserve">Llavín Stanley </t>
  </si>
  <si>
    <t>Transporte de Puerta (3%)</t>
  </si>
  <si>
    <t>Mano de obra Inst. de Puerta incluye Llavín</t>
  </si>
  <si>
    <t>Panel Polimetálico 0.70-0.90 x 2.10</t>
  </si>
  <si>
    <t>Inodoro Sadosa Standard</t>
  </si>
  <si>
    <t xml:space="preserve">Lavamanos de pedestal </t>
  </si>
  <si>
    <t>instalacion</t>
  </si>
  <si>
    <t>Papelera (zafacon)</t>
  </si>
  <si>
    <t>Dis. De Jabon</t>
  </si>
  <si>
    <t>Espejo</t>
  </si>
  <si>
    <t>Disp. Toalla</t>
  </si>
  <si>
    <t>Instalacion</t>
  </si>
  <si>
    <t>Parrilla 2" en zinc</t>
  </si>
  <si>
    <t>Mortero 1:4 para pañete pulido</t>
  </si>
  <si>
    <t>Bloques de 4" (solo suministro)</t>
  </si>
  <si>
    <t>Bomba 2" Hp</t>
  </si>
  <si>
    <t>Panete Pulido</t>
  </si>
  <si>
    <t>bloques 6" 3/8" @.20</t>
  </si>
  <si>
    <t xml:space="preserve">Excavacion </t>
  </si>
  <si>
    <t>Relleno de reposisicon</t>
  </si>
  <si>
    <t>Asiento de Arena</t>
  </si>
  <si>
    <t>Tuberia de 4"</t>
  </si>
  <si>
    <t>Tuberia de 2"</t>
  </si>
  <si>
    <t>Tuberia de 1/2""</t>
  </si>
  <si>
    <t xml:space="preserve">Fregadero Acero Inox. sencillo 25"x22" 3H </t>
  </si>
  <si>
    <t>Mezcladora para fregadero Monomando</t>
  </si>
  <si>
    <t>Tuberias y piezas especiales</t>
  </si>
  <si>
    <t>Tanque Hidroneumatico Myers  42 GLS</t>
  </si>
  <si>
    <t>Hormigon In situ</t>
  </si>
  <si>
    <t>Mano de obra empañete  Exterior</t>
  </si>
  <si>
    <t>Mano de obra empañete techo</t>
  </si>
  <si>
    <t>Mano de obra empañete colummnas</t>
  </si>
  <si>
    <t>Hormigon in situ 210kg/cm2</t>
  </si>
  <si>
    <t>Frotado</t>
  </si>
  <si>
    <t>Salida Cenital</t>
  </si>
  <si>
    <t>Interruptor Sencillo</t>
  </si>
  <si>
    <t>Toma corriente</t>
  </si>
  <si>
    <t>UDs</t>
  </si>
  <si>
    <t>Registro metal 12"x12"x6"</t>
  </si>
  <si>
    <t>Tubo PVC 1</t>
  </si>
  <si>
    <t>Acero 3/4"</t>
  </si>
  <si>
    <t xml:space="preserve">Mano de obra goteros </t>
  </si>
  <si>
    <t>Replanteo</t>
  </si>
  <si>
    <t>Hormigon In situ 210kg/cm2</t>
  </si>
  <si>
    <t>Hormigón 140 Kg/cm2 (incluye bomba y colocación)</t>
  </si>
  <si>
    <t xml:space="preserve">Mano de obra </t>
  </si>
  <si>
    <t>Tierra negra</t>
  </si>
  <si>
    <t>Perfile HN 2x4</t>
  </si>
  <si>
    <t>Planchuela 3"x3/8"</t>
  </si>
  <si>
    <t>Materiales menores</t>
  </si>
  <si>
    <t>Herramientas</t>
  </si>
  <si>
    <t>Mano de Obra incluye pintura</t>
  </si>
  <si>
    <t xml:space="preserve">Volumen Análisis </t>
  </si>
  <si>
    <t>Mano de Obra Contenes y pulido (incluye plantillas)</t>
  </si>
  <si>
    <t>*</t>
  </si>
  <si>
    <t>TRABAJO GENERALES</t>
  </si>
  <si>
    <t>VISITAS</t>
  </si>
  <si>
    <t>Letrero de la obra</t>
  </si>
  <si>
    <t>P.A</t>
  </si>
  <si>
    <t>Estudio de suelo (Pago a contra factura)</t>
  </si>
  <si>
    <t>Limpieza final y periodica</t>
  </si>
  <si>
    <t>Fumigación de Área</t>
  </si>
  <si>
    <t>P.A.</t>
  </si>
  <si>
    <t>Excavaciones para zapatas</t>
  </si>
  <si>
    <t>Excavaciones para Columnas</t>
  </si>
  <si>
    <t>Relleno Compactado e=0.30</t>
  </si>
  <si>
    <t>Bote de material de excavación</t>
  </si>
  <si>
    <t>Dintel  D1 (0.15X0.20) m,  (4Ø 3/8''+est. 3/8"Ø @0.20 m),  Hormigon industrial 210 kg/cm2</t>
  </si>
  <si>
    <t>Losa espesor variable, Hormigon industrial 210 kg/cm2</t>
  </si>
  <si>
    <t>Pañete liso en muros interiores y exteriores</t>
  </si>
  <si>
    <t>Pañete en vigas, columnas y dinteles</t>
  </si>
  <si>
    <t>Pañete de techos</t>
  </si>
  <si>
    <t>Cantos en general</t>
  </si>
  <si>
    <t>Goteros colgantes</t>
  </si>
  <si>
    <t>Lajas en Fachada</t>
  </si>
  <si>
    <t>Torta de Piso e= 0.10 m con Malla Electrosoldada  2.3x2.3x20x20,  Hormigon industrial 180 kg/cm2</t>
  </si>
  <si>
    <t xml:space="preserve">Porcelanato Crema 60 x 60 </t>
  </si>
  <si>
    <t>Porcelanato gris poroso  45 x 45</t>
  </si>
  <si>
    <t>Pisos de cerámica 0.45 m x 0.45 x en baños</t>
  </si>
  <si>
    <t xml:space="preserve">Zocalo Porcelanato Crema 60 x 60 </t>
  </si>
  <si>
    <t xml:space="preserve">Zocalo Porcelanato gris poroso </t>
  </si>
  <si>
    <t xml:space="preserve">Pintura Exposica en Piso </t>
  </si>
  <si>
    <t xml:space="preserve">Pulido en Helicopero para aplicación de Exposico </t>
  </si>
  <si>
    <t>REVESTIMIENTO</t>
  </si>
  <si>
    <t>Revestimiento en baños con Cerámica blanca de alta calidad  (0.30*0.60)m H=1.80 m</t>
  </si>
  <si>
    <t>Fino en techo plano</t>
  </si>
  <si>
    <t>Zabaleta</t>
  </si>
  <si>
    <t xml:space="preserve">Antepecho </t>
  </si>
  <si>
    <t>Puerta frontal de Cristal de 2 hojas (2.00 x 2.10)</t>
  </si>
  <si>
    <t>Puertas interiores  (0.9 x 2.10)</t>
  </si>
  <si>
    <t>Puertas interiores  (0.8 x 2.10)</t>
  </si>
  <si>
    <t>Ventanas Corredizas en Aluminio y Vidrio(3.00x1.50) mt, 10 uds</t>
  </si>
  <si>
    <t>Ventanas Corredizas en Aluminio y Vidrio(1.90x1.50) mt, 1 ud</t>
  </si>
  <si>
    <t>Ventanas de celosias en aluminio blancas (0.7x0.6) m, 4 uds</t>
  </si>
  <si>
    <t>Protectores de Ventanas en hierro</t>
  </si>
  <si>
    <t>Tope marmolite</t>
  </si>
  <si>
    <t>Gabinete de piso en pino tratado</t>
  </si>
  <si>
    <t>Gabinete de pared en pino tratado</t>
  </si>
  <si>
    <t>Revestimiento de pared en ceramica satinada (0.30 x 0.60)m, Importado de primera calidad, h=0.60m</t>
  </si>
  <si>
    <t>PINTURA GENERAL</t>
  </si>
  <si>
    <t>Acrílica en interior y exterior</t>
  </si>
  <si>
    <t>Acrílica en techos</t>
  </si>
  <si>
    <t>Suministro y Colocacion de Inodoros Sadosa Estándar Taino blanco  (incluye mano de obra)</t>
  </si>
  <si>
    <t>Suministro y Colocacion de Lavamanos Sadosa Estándar Taino blanco  (incluye mano de obra)</t>
  </si>
  <si>
    <t>Fregadero de acero inoxidable de una cámara incl. Mezcladora</t>
  </si>
  <si>
    <t>Accesorios para baños</t>
  </si>
  <si>
    <t>juegos</t>
  </si>
  <si>
    <t>Desagüe de techo de Ø3"</t>
  </si>
  <si>
    <t>Ventilación de Ø3"  (incluye mano de obra)</t>
  </si>
  <si>
    <t>Desagüe de Piso de Ø2", (incluye mano de obra)</t>
  </si>
  <si>
    <t>Trampa de Grasa (0.80 x 0.80 x 1.00)</t>
  </si>
  <si>
    <t>Cámara de inspección (0.60 x 0.70 x 0.70)</t>
  </si>
  <si>
    <t>Suministro y colocacion de Válvulas de paso de Ø 3/4</t>
  </si>
  <si>
    <t>Camara Séptica sencilla  (1.50x2.50x1.50)m, (incluye mano de obra)</t>
  </si>
  <si>
    <t>Tinaco 550 Gls</t>
  </si>
  <si>
    <t>Suministro y colocacion de bomba de 2´´ HP  tipo mayer para cisterna</t>
  </si>
  <si>
    <t>CISTERNA DE 2,500 GALONES (2.60 X 2.60 X 1.40)</t>
  </si>
  <si>
    <t>Relleno de reposición e=0.10</t>
  </si>
  <si>
    <t>Losa de Fondo Maciza h=0.15 m. Ø 3/8 @ 0.25 A.D., F'c=180 Kg/cm2 con ligadora</t>
  </si>
  <si>
    <t>Losa de techo  Maciza h=0.15 m. Ø 3/8 @ 0.25 A.D., F'c=180 Kg/cm2 con ligadora</t>
  </si>
  <si>
    <t>Tanque hidroneumático 42 galones presurizado marca Mayer</t>
  </si>
  <si>
    <t>Bomba 3 HP Mayer centrifuga</t>
  </si>
  <si>
    <t>CASETA DE BOMBA ( 1.80X1.20) m</t>
  </si>
  <si>
    <t>Excavacion Zapata de muro (0.45*0.60) mts</t>
  </si>
  <si>
    <t>Reposicion</t>
  </si>
  <si>
    <t>Hormigon en Zapata (0.45*0.20*7.20),  (3Ø3/8"+ Ø3/8"@0.25). Hormigon Industrial 210 Kg/cm2</t>
  </si>
  <si>
    <t>Viga de amarre (0.15x0.20) (4Ø3/8"+ Ø3/8"@ 0.25) F'c=210 con ligadora</t>
  </si>
  <si>
    <t>Losas en H.A.   e=10 cm, Ø 3/8"@ 0.25 m , F'c=210 con ligadora</t>
  </si>
  <si>
    <t>Muro de block 6'' S.N.P @ 0.80 m</t>
  </si>
  <si>
    <t>Muro de block 6'' B.N.P @ 0.80 m</t>
  </si>
  <si>
    <t>Cantos y mochetas</t>
  </si>
  <si>
    <t>Acera de circulacion en hormigon frotado, e=0.10 m. F'c= 180 Kg/cm2 Industrial</t>
  </si>
  <si>
    <t>Relleno bajo acera</t>
  </si>
  <si>
    <t>Bordillo</t>
  </si>
  <si>
    <t>Rampa de acceso (vehicular) e=0.12 m, F'c= 180 Kg/cm2 Industrial</t>
  </si>
  <si>
    <t>Rampa para minusválidos e=0.10, F'c= 180 Kg/cm2 Industrial</t>
  </si>
  <si>
    <t>Corte y nivelación de Material e=0.20, con equipo</t>
  </si>
  <si>
    <t>Relleno Compactado e=0.20 m</t>
  </si>
  <si>
    <t>Piso de parqueo en hormigón e=0.10 m, con malla electrosoldada 2.3x2.3x20x20, Hormigon Industrial 180 Kg/cm2. Terminacion con helicoptero</t>
  </si>
  <si>
    <t>Suministro y colocacion de Paragomas de concreto</t>
  </si>
  <si>
    <t>Señalización horizontal</t>
  </si>
  <si>
    <t>Salida Luz cenital</t>
  </si>
  <si>
    <t>Salida luces Lámparas Fluorescente 3 tubos</t>
  </si>
  <si>
    <t>Salida luces  Globos bajo consumo de columna</t>
  </si>
  <si>
    <t>Interruptores dobles</t>
  </si>
  <si>
    <t>Interruptores sencillos</t>
  </si>
  <si>
    <t>Tomacorrientes doble 220v</t>
  </si>
  <si>
    <t>Tomacorrientes  sencillo 110v</t>
  </si>
  <si>
    <t>Salida de Teléfono</t>
  </si>
  <si>
    <t>Salida de Antena</t>
  </si>
  <si>
    <t>Salida para Data</t>
  </si>
  <si>
    <t xml:space="preserve">Panel Breaker  (6-12 ctos.) </t>
  </si>
  <si>
    <t>Materiales eléctricos</t>
  </si>
  <si>
    <t>Acometida eléctrica</t>
  </si>
  <si>
    <t>Mano de obra electricista</t>
  </si>
  <si>
    <t>Chimenea, tubo de Ø3´´ Acero negro, campana para descarga, soldadura y Mano de Obra</t>
  </si>
  <si>
    <t>Meseta con tope de granito en area de  preparación</t>
  </si>
  <si>
    <t>Gabinete en pino tratado.  área de preparación</t>
  </si>
  <si>
    <t>Letras en Bronce, pulido y brillado 8´´</t>
  </si>
  <si>
    <t xml:space="preserve">Suministro e instalacion de Aires Acondicionado de 3 toneladas, Inverter. </t>
  </si>
  <si>
    <t xml:space="preserve">Suministro e instalacion de Aires Acondicionado de 24,000 BTW, Inverter. </t>
  </si>
  <si>
    <t xml:space="preserve">Zapata  de muro de 0.10 m (0.30*0.20)m, (3Ø3/8´´+ estribo 3/8´´@0.20m), Hormigon  Ligadora F'c=180Kg/cm2. </t>
  </si>
  <si>
    <t xml:space="preserve">LIMPIEZA </t>
  </si>
  <si>
    <t>Limpieza Final y Continua</t>
  </si>
  <si>
    <t>Zapatas de muro de  6" (0.25x0.45)m, (3Ø3/8"+est.  Ø3/8"@ 0.20 m) Hormigon industria 210 Kg/cm2</t>
  </si>
  <si>
    <t>Zapatas de Columnas (0.90 x 0.90 x 0.20), Ø1/2" Hormigon Industrial 210 kg/cm2</t>
  </si>
  <si>
    <t>Columnas (0.25 x 0.25) 6Ø1/2"+ est. Ø3/8"@0.20 m, Hormigon Industrial 210 kg/cm2</t>
  </si>
  <si>
    <t xml:space="preserve">Muros de Block de 6" BNP con Ø3/8" a 0.80m (2 Líneas) </t>
  </si>
  <si>
    <t xml:space="preserve">Muros de Block de 6" SNP con Ø 3/8" a 0.80m </t>
  </si>
  <si>
    <t>Pañete liso en muros</t>
  </si>
  <si>
    <t>Pintura Acrílica</t>
  </si>
  <si>
    <t>Puerta Peatonal (1.40 x 2.90)</t>
  </si>
  <si>
    <t>Puerta Corrediza en perfiles,  2'' x 2'' y Marco en 3''x2'' en H. G., (6.17X2.90) mts. Incluye riel y ruedas</t>
  </si>
  <si>
    <t>Puerta Corrediza en perfiles,  2'' x 2'' y Marco en 3''x2'' en H. G., (5.00X2.90) mts. Incluye riel y ruedas</t>
  </si>
  <si>
    <t>Hierros sobre muros frontal</t>
  </si>
  <si>
    <t xml:space="preserve">Grama </t>
  </si>
  <si>
    <t xml:space="preserve">Arboles  Almendro 4-6 pies </t>
  </si>
  <si>
    <t xml:space="preserve">Arboles  mara  6 - 7 pies </t>
  </si>
  <si>
    <t xml:space="preserve">Tierra negra </t>
  </si>
  <si>
    <t>Acera Estampada en Exterior (incluye relleno)</t>
  </si>
  <si>
    <t>SUB - TOTAL  COSTOS DIRECTOS</t>
  </si>
  <si>
    <t>Ley 6-86</t>
  </si>
  <si>
    <t>Supervisión</t>
  </si>
  <si>
    <t>Imprevisto</t>
  </si>
  <si>
    <t>SUB-TOTAL COSTOS INDIRECTOS</t>
  </si>
  <si>
    <t>Herramientas, Materiales de limpieza</t>
  </si>
  <si>
    <t>Hormigon Industrial 180kg/cm2</t>
  </si>
  <si>
    <t>Malla electrosoldada 2.3x2.3 20x20</t>
  </si>
  <si>
    <t xml:space="preserve">Mano de Obra de colocación </t>
  </si>
  <si>
    <t>porcelanato 60x60</t>
  </si>
  <si>
    <t>porcelanato Poroso</t>
  </si>
  <si>
    <t>Ceramica</t>
  </si>
  <si>
    <t>Corte de Chazos</t>
  </si>
  <si>
    <t xml:space="preserve">Corte de Chazos  </t>
  </si>
  <si>
    <t>Thinner</t>
  </si>
  <si>
    <t>Desperdicios, retoques y material gastable - 20%</t>
  </si>
  <si>
    <t>Pulido con Helicoptero - Todo Costo</t>
  </si>
  <si>
    <t>Panel Polimetálico 1.2 x 2.10</t>
  </si>
  <si>
    <t>instalación Desague de 3"</t>
  </si>
  <si>
    <t>Valvula de 3/4"</t>
  </si>
  <si>
    <t>Cantos y Mochetas</t>
  </si>
  <si>
    <t>Rendimeinto</t>
  </si>
  <si>
    <t>hr</t>
  </si>
  <si>
    <t>Operador</t>
  </si>
  <si>
    <t>Ayudante de Operador</t>
  </si>
  <si>
    <t>Combustible</t>
  </si>
  <si>
    <t>Gls</t>
  </si>
  <si>
    <t>Lubricante</t>
  </si>
  <si>
    <t>Sereno</t>
  </si>
  <si>
    <t>EQUIPO:</t>
  </si>
  <si>
    <t xml:space="preserve">Tractor Komatsu D 65 o Similar </t>
  </si>
  <si>
    <t>Lamapra fluorescente 3 tubos</t>
  </si>
  <si>
    <t>Lampara globo bajo consumo</t>
  </si>
  <si>
    <t>Tubo ¾"x19' PVC SDR-26 + 15% desp.</t>
  </si>
  <si>
    <t>Caja rectangular ¾".</t>
  </si>
  <si>
    <t>Alambre #10 TW + 5% desp.</t>
  </si>
  <si>
    <t>Alambre #12 TW+ 5% desp.</t>
  </si>
  <si>
    <t>Accesorio Tapa Tomacorriente Sencillo 220 V</t>
  </si>
  <si>
    <t>Codo electrico PVC 3/4"</t>
  </si>
  <si>
    <t>Mano de obra Tomacorriente Sencillo 220 V</t>
  </si>
  <si>
    <t>Alambre THHN #2</t>
  </si>
  <si>
    <t>Alambre THHN #4</t>
  </si>
  <si>
    <t>Grama a todo costo</t>
  </si>
  <si>
    <t>Almendro 4-6 pies</t>
  </si>
  <si>
    <t>Siembra</t>
  </si>
  <si>
    <t>Mara 6-7</t>
  </si>
  <si>
    <t>Hormigon Industrial 210</t>
  </si>
  <si>
    <t xml:space="preserve">Estampado </t>
  </si>
  <si>
    <t>Relleno Compactado</t>
  </si>
  <si>
    <t>Tuberías y piezas drenaje en interior, aguas residuales, Tubo de 2'' PVC SDR-41(Incl: Excavacion, Relleno, Tuberias de 2'' Y Mano de Obra)</t>
  </si>
  <si>
    <t>Suministro Aire 3 toneladas</t>
  </si>
  <si>
    <t xml:space="preserve">Instalacion </t>
  </si>
  <si>
    <t>FEBRERO</t>
  </si>
  <si>
    <t>MARZO</t>
  </si>
  <si>
    <t>ABRIL</t>
  </si>
  <si>
    <t>MAYO</t>
  </si>
  <si>
    <t>JUNIO</t>
  </si>
  <si>
    <t>JULIO</t>
  </si>
  <si>
    <t>Revestimiento de piedra androcita</t>
  </si>
  <si>
    <t>mezcla 1:3</t>
  </si>
  <si>
    <t xml:space="preserve">colocación de piedra </t>
  </si>
  <si>
    <t>Cantos de lajas</t>
  </si>
  <si>
    <t xml:space="preserve"> Derretido para piedras</t>
  </si>
  <si>
    <t>Herramientas (2%)</t>
  </si>
  <si>
    <t>Alquiler de Andamios por 4 meses</t>
  </si>
  <si>
    <t>Mes</t>
  </si>
  <si>
    <t>Area de Analisis</t>
  </si>
  <si>
    <t>Tractor</t>
  </si>
  <si>
    <t>Obreros</t>
  </si>
  <si>
    <t>Hrs</t>
  </si>
  <si>
    <t xml:space="preserve">Porcelanato </t>
  </si>
  <si>
    <t>Distancia Aproximada para analisis 300pl</t>
  </si>
  <si>
    <t>Area</t>
  </si>
  <si>
    <t>Zaparas</t>
  </si>
  <si>
    <t>Eje X</t>
  </si>
  <si>
    <t>Eje y</t>
  </si>
  <si>
    <t>hf</t>
  </si>
  <si>
    <t>base</t>
  </si>
  <si>
    <t>.</t>
  </si>
  <si>
    <t>Volumen</t>
  </si>
  <si>
    <t>Excavacion</t>
  </si>
  <si>
    <t>relleno</t>
  </si>
  <si>
    <t>Viga BNP</t>
  </si>
  <si>
    <t>Bloques BNP</t>
  </si>
  <si>
    <t>area</t>
  </si>
  <si>
    <t>Bloques sNP</t>
  </si>
  <si>
    <t>huecos x</t>
  </si>
  <si>
    <t>huecos y</t>
  </si>
  <si>
    <t>huecos</t>
  </si>
  <si>
    <t>neta</t>
  </si>
  <si>
    <t xml:space="preserve">Muros de Bloques 4" SNP con Ø3/8" a 0.8 m </t>
  </si>
  <si>
    <t>Bloques 4"</t>
  </si>
  <si>
    <t>DINTELES</t>
  </si>
  <si>
    <t>loSAS</t>
  </si>
  <si>
    <t>AREA</t>
  </si>
  <si>
    <t>cantos</t>
  </si>
  <si>
    <t>mochetas</t>
  </si>
  <si>
    <t>banos</t>
  </si>
  <si>
    <t>zocalos</t>
  </si>
  <si>
    <t>Puertas interiores  (1.5 x 2.10)</t>
  </si>
  <si>
    <t>Puertas interiores en área parqueo carro fúnebre (2.00 x 2.10)</t>
  </si>
  <si>
    <t>Pano fijo frontal</t>
  </si>
  <si>
    <t>Puerta Interior Cristal</t>
  </si>
  <si>
    <t>2DO NIVEL</t>
  </si>
  <si>
    <t>2do nivel</t>
  </si>
  <si>
    <t>x-x</t>
  </si>
  <si>
    <t>y-y</t>
  </si>
  <si>
    <t>dintel</t>
  </si>
  <si>
    <t>Pano fijo caja</t>
  </si>
  <si>
    <t>Zapata  de muro de 0.20 m (0.6*0.23) m, (5Ø3/8"+ estribo 3/8"@0.15m), Hormigon Industrial 210 kg/cm2</t>
  </si>
  <si>
    <t>Zapata de columnas ZC1 (1*1*0.40)m, (Ø1/2"@ 0.15 m, A.D ), Hormigon Industrial 210 kg/cm2, 38 unds</t>
  </si>
  <si>
    <t>Columnas C1 (0.2 x 0.2) 4Ø1/2"+ est. Ø3/8"@0.15 m, Hormigon Industrial 210 kg/cm2</t>
  </si>
  <si>
    <t>Dintel  D1 (0.2X0.40) m,  (3Ø 3/8''+2Ø1/2"est. 3/8"Ø @0.15 m),  Hormigon industrial 210 kg/cm2</t>
  </si>
  <si>
    <t>Viga VA BNP (0.2X0.20)m, (4Ø3/8"+est. 3/8"@.20m),  Hormigon industrial 210 kg/cm2</t>
  </si>
  <si>
    <t>Vigas V1X (0.20 x 0.40) 3Ø3/4"+2Ø1/2"+ est. Ø3/8"@0.15 m. Hormigon industrial 210 kg/cm2</t>
  </si>
  <si>
    <t>Vigas V3x  (0.20 x 0.40) 3Ø3/4"+2Ø1/2"+ est. Ø3/8"@0.15 m. Hormigon industrial 210 kg/cm2</t>
  </si>
  <si>
    <t>Vigas V4x  (0.20 x 0.40) 3Ø3/4"+2Ø1/2"+ est. Ø3/8"@0.15 m. Hormigon industrial 210 kg/cm2</t>
  </si>
  <si>
    <t>Vigas V5x (0.2 x 0.4) 2Ø1/2"+3Ø3/4"+adcionales 4Ø1/2"+ est. Ø3/8"@0.15 m. Hormigon industrial 210 kg/cm2</t>
  </si>
  <si>
    <t>Vigas V7x (0.2 x 0.4) 3Ø1/2"+2Ø3/4"+adcionales 3Ø3/4"+ est. Ø3/8"@0.15 m. Hormigon industrial 210 kg/cm2</t>
  </si>
  <si>
    <t>Vigas V1y (0.2 x 0.4) 3Ø1/2"+2Ø3/4"+adcionales 3Ø3/4"+ est. Ø3/8"@0.15 m. Hormigon industrial 210 kg/cm2</t>
  </si>
  <si>
    <t>Vigas V2y (0.20 x 0.40) 3Ø3/4"+2Ø1/2"+ est. Ø3/8"@0.15 m. Hormigon industrial 210 kg/cm2</t>
  </si>
  <si>
    <t>Vigas V3y (0.20 x 0.40) 3Ø3/4"+2Ø1/2"+ est. Ø3/8"@0.15 m. Hormigon industrial 210 kg/cm2</t>
  </si>
  <si>
    <t>Vigas V7y (0.20 x 0.40) 3Ø3/4"+2Ø1/2"+ est. Ø3/8"@0.15 m. Hormigon industrial 210 kg/cm2</t>
  </si>
  <si>
    <t>Vigas V8y (0.20 x 0.40) 3Ø3/4"+2Ø1/2"+ est. Ø3/8"@0.15 m. Hormigon industrial 210 kg/cm2</t>
  </si>
  <si>
    <t>Viga VA SNP (0.2X0.20)m, (4Ø3/8"+est. 3/8"@.20m),  Hormigon industrial 210 kg/cm2</t>
  </si>
  <si>
    <t xml:space="preserve">Muros de Bloques 8" BNP con Ø3/8" a 0.60m (h=0.40 m) </t>
  </si>
  <si>
    <t xml:space="preserve">Muros de Bloques 8" SNP con Ø3/8" a 0.60 m </t>
  </si>
  <si>
    <t>Revestimiento de lobby en ceramica europea 30x60</t>
  </si>
  <si>
    <t>Rampa de Escalera</t>
  </si>
  <si>
    <t>escalones en procelanato</t>
  </si>
  <si>
    <t>Suministro e instalacion de escalera en acero inoxidable y vidrio</t>
  </si>
  <si>
    <t>Vigas V9X (0.20 x 0.40) 3Ø3/4"+2Ø1/2"+ est. Ø3/8"@0.15 m. Hormigon industrial 210 kg/cm2</t>
  </si>
  <si>
    <t>Vigas V10x (0.2 x 0.4) 3Ø1/2"+2Ø3/4"+adcionales 3Ø3/4"+ est. Ø3/8"@0.15 m. Hormigon industrial 210 kg/cm2</t>
  </si>
  <si>
    <t>Vigas V6x (0.2 x 0.4) 3Ø1/2"+2Ø3/4"+adcionales 4Ø1/2"+ est. Ø3/8"@0.15 m. Hormigon industrial 210 kg/cm2</t>
  </si>
  <si>
    <t>Vigas V2x (0.2 x 0.4) 3Ø1/2"+2Ø3/4"+adcionales 4Ø1/2"+ est. Ø3/8"@0.15 m. Hormigon industrial 210 kg/cm2</t>
  </si>
  <si>
    <t>Vigas V4y (0.2 x 0.4) 3Ø1/2"+2Ø3/4"+adcionales 4Ø1/2"+ est. Ø3/8"@0.15 m. Hormigon industrial 210 kg/cm2</t>
  </si>
  <si>
    <t>Vigas V5y (0.2 x 0.4) 3Ø1/2"+2Ø3/4"+adcionales 2Ø1/2"+ est. Ø3/8"@0.15 m. Hormigon industrial 210 kg/cm2</t>
  </si>
  <si>
    <t>Vigas V6y (0.2 x 0.4) 3Ø1/2"+2Ø3/4"+adcionales 2Ø1/2"+ est. Ø3/8"@0.15 m. Hormigon industrial 210 kg/cm2</t>
  </si>
  <si>
    <t>Vigas V11x (0.2 x 0.4) 3Ø1/2"+2Ø3/4"+adcionales 3Ø3/4"+ est. Ø3/8"@0.15 m. Hormigon industrial 210 kg/cm2</t>
  </si>
  <si>
    <t>Vigas V9y (0.2 x 0.4) 3Ø1/2"+2Ø3/4"+adcionales 3Ø3/4"+ est. Ø3/8"@0.15 m. Hormigon industrial 210 kg/cm2</t>
  </si>
  <si>
    <t>Vigas V10y (0.2 x 0.4) 3Ø1/2"+2Ø3/4"+adcionales 2Ø1/2"+ est. Ø3/8"@0.15 m. Hormigon industrial 210 kg/cm2</t>
  </si>
  <si>
    <t>Vigas V11Y (0.20 x 0.40) 3Ø3/4"+2Ø1/2"+ est. Ø3/8"@0.15 m. Hormigon industrial 210 kg/cm2</t>
  </si>
  <si>
    <t>Vigas V12Y (0.2 x 0.4) 2Ø1/2"+3Ø3/4"+adcionales 4Ø1/2"+ est. Ø3/8"@0.15 m. Hormigon industrial 210 kg/cm2</t>
  </si>
  <si>
    <t>Vigas V13Y (0.20 x 0.40) 3Ø3/4"+2Ø1/2"+ est. Ø3/8"@0.15 m. Hormigon industrial 210 kg/cm2</t>
  </si>
  <si>
    <t>Vigas V14y (0.2 x 0.4) 3Ø1/2"+2Ø3/4"+adcionales 3Ø3/4"+ est. Ø3/8"@0.15 m. Hormigon industrial 210 kg/cm2</t>
  </si>
  <si>
    <t>Losa espesor 14cm, Hormigon industrial 210 kg/cm2</t>
  </si>
  <si>
    <t xml:space="preserve">Excavación Zapata de Muros </t>
  </si>
  <si>
    <t xml:space="preserve">Excavación Zapatas de Columnas </t>
  </si>
  <si>
    <t>VERJA PERIMETRAL(151.5ML) (H=2MTS)</t>
  </si>
  <si>
    <t xml:space="preserve">TOTAL </t>
  </si>
  <si>
    <t>Zapata de columnas ZC2 (1.5*1.5*0.40)m, (Ø1/2"@ 0.15 m, A.D ), Hormigon Industrial 210 kg/cm2, 38 unds</t>
  </si>
  <si>
    <t>Columnas C2 (0.25 x 0.25) 8Ø1/2"+ est. Ø3/8"@0.15 m, Hormigon Industrial 210 kg/cm2</t>
  </si>
  <si>
    <t>Recomendaciones estudio de suelo</t>
  </si>
  <si>
    <t>LIMPIEZA</t>
  </si>
  <si>
    <t>Limpieza final</t>
  </si>
  <si>
    <t xml:space="preserve">PRESUPUESTO No. </t>
  </si>
  <si>
    <t>DIRECCIÓN:</t>
  </si>
  <si>
    <t>CIRCUNSCRIPCIÓN</t>
  </si>
  <si>
    <t>SANTO DOMINGO NORTE</t>
  </si>
  <si>
    <t>DESCRIPCIÓN DE LOS TRABAJOS:</t>
  </si>
  <si>
    <t>FECHA DE ELABORACIÓN:</t>
  </si>
  <si>
    <t>CONSTRUCCIÓN FUNERARIA NUEVA ESPERANZA</t>
  </si>
  <si>
    <t>LOS GUARICANOS</t>
  </si>
  <si>
    <t>DESCRIPCIÓN</t>
  </si>
  <si>
    <r>
      <rPr>
        <b/>
        <sz val="16"/>
        <rFont val="Times New Roman"/>
        <family val="1"/>
      </rPr>
      <t>Tuberías y piezas drenaje en Exterior</t>
    </r>
    <r>
      <rPr>
        <sz val="16"/>
        <rFont val="Times New Roman"/>
        <family val="1"/>
      </rPr>
      <t>, aguas residuales, Tubo de 4'' PVC SDR-41(Incl: Suministro de Tuberias de 4", replanteo  Y Mano de Obra)</t>
    </r>
  </si>
  <si>
    <r>
      <rPr>
        <b/>
        <sz val="16"/>
        <rFont val="Times New Roman"/>
        <family val="1"/>
      </rPr>
      <t>Tuberías y piezas drenaje en Interior</t>
    </r>
    <r>
      <rPr>
        <sz val="16"/>
        <rFont val="Times New Roman"/>
        <family val="1"/>
      </rPr>
      <t>, aguas residuales, Tubo de 4'' PVC SDR-41(Incl: Suministro de Tuberias de 4", replanteo  Y Mano de Obra)</t>
    </r>
  </si>
  <si>
    <r>
      <rPr>
        <b/>
        <sz val="16"/>
        <rFont val="Times New Roman"/>
        <family val="1"/>
      </rPr>
      <t>Tuberías y piezas drenaje en Interior</t>
    </r>
    <r>
      <rPr>
        <sz val="16"/>
        <rFont val="Times New Roman"/>
        <family val="1"/>
      </rPr>
      <t>, aguas residuales, Tubo de 2'' PVC SDR-41(Incl: Suministro de Tuberias de 2", replanteo  Y Mano de Obra)</t>
    </r>
  </si>
  <si>
    <r>
      <rPr>
        <b/>
        <sz val="16"/>
        <rFont val="Times New Roman"/>
        <family val="1"/>
      </rPr>
      <t>Tuberías y piezas de aguas Potable</t>
    </r>
    <r>
      <rPr>
        <sz val="16"/>
        <rFont val="Times New Roman"/>
        <family val="1"/>
      </rPr>
      <t>, Tubo de 1/2'' PVC SCH-40(Incl:  Mano de Obra)</t>
    </r>
  </si>
  <si>
    <t>MUNICIPIO</t>
  </si>
  <si>
    <t>HORMIGÓN ARMADO EN:</t>
  </si>
  <si>
    <t>TERMINACIÓN DE SUPERFICIES</t>
  </si>
  <si>
    <t>TERMINACIÓN DE PISOS</t>
  </si>
  <si>
    <t>TERMINACIÓN DE TECHO</t>
  </si>
  <si>
    <t>TERMINACIÓN DE ACERAS</t>
  </si>
  <si>
    <t>INSTALACIONES ELÉCTRICAS</t>
  </si>
  <si>
    <t>MISCELÁNEOS</t>
  </si>
  <si>
    <t>ÁREAS EXTERIORES</t>
  </si>
  <si>
    <t xml:space="preserve">MISCELÁNEOS </t>
  </si>
  <si>
    <t>TERMINACIÓN DE COCINA</t>
  </si>
  <si>
    <t>ING. PATRIA PEGUERO</t>
  </si>
  <si>
    <t>Aprobado por:</t>
  </si>
  <si>
    <t xml:space="preserve">ING. CRESENCIO PAREDES POLANCO </t>
  </si>
  <si>
    <t>Director Obras Públicas Municipales</t>
  </si>
  <si>
    <t>Encargada Unidad de Presupuestos</t>
  </si>
  <si>
    <t>Revisado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</si>
</sst>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_-;\-* #,##0.00_-;_-* &quot;-&quot;??_-;_-@_-"/>
    <numFmt numFmtId="165" formatCode="_(* #,##0.00_);_(* \(#,##0.00\);_(* &quot;-&quot;??_);_(@_)"/>
    <numFmt numFmtId="166" formatCode="General_)"/>
    <numFmt numFmtId="167" formatCode="_-[$RD$-1C0A]* #,##0.00_ ;_-[$RD$-1C0A]* \-#,##0.00\ ;_-[$RD$-1C0A]* &quot;-&quot;??_ ;_-@_ "/>
    <numFmt numFmtId="168" formatCode="0.00_)"/>
    <numFmt numFmtId="169" formatCode="0.000"/>
    <numFmt numFmtId="170" formatCode="&quot;$&quot;#,##0.00"/>
    <numFmt numFmtId="171" formatCode="&quot;RD$&quot;#,##0.00"/>
    <numFmt numFmtId="172" formatCode="_([$$-409]* #,##0.00_);_([$$-409]* \(#,##0.00\);_([$$-409]* &quot;-&quot;??_);_(@_)"/>
    <numFmt numFmtId="173" formatCode="0.0000"/>
    <numFmt numFmtId="174" formatCode="#,##0.000"/>
    <numFmt numFmtId="175" formatCode="_(* #,##0.0000_);_(* \(#,##0.0000\);_(* &quot;-&quot;??_);_(@_)"/>
    <numFmt numFmtId="176" formatCode="[$RD$-1C0A]#,##0.00"/>
    <numFmt numFmtId="177" formatCode="_(* #,##0\ &quot;pta&quot;_);_(* \(#,##0\ &quot;pta&quot;\);_(* &quot;-&quot;??\ &quot;pta&quot;_);_(@_)"/>
    <numFmt numFmtId="178" formatCode="#,##0.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0"/>
      <name val="Helv"/>
    </font>
    <font>
      <sz val="14"/>
      <name val="Century Gothic"/>
      <family val="2"/>
    </font>
    <font>
      <sz val="10"/>
      <name val="Geneva"/>
    </font>
    <font>
      <b/>
      <sz val="10"/>
      <name val="Tahoma"/>
      <family val="2"/>
    </font>
    <font>
      <sz val="12"/>
      <color theme="1"/>
      <name val="Calibri"/>
      <family val="2"/>
      <scheme val="minor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name val="Century Gothic"/>
      <family val="2"/>
    </font>
    <font>
      <sz val="16"/>
      <name val="Century Gothic"/>
      <family val="2"/>
    </font>
    <font>
      <sz val="16"/>
      <color theme="1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6"/>
      <color indexed="8"/>
      <name val="Times New Roman"/>
      <family val="1"/>
    </font>
    <font>
      <sz val="16"/>
      <color indexed="8"/>
      <name val="Times New Roman"/>
      <family val="1"/>
    </font>
    <font>
      <b/>
      <sz val="16"/>
      <color theme="1"/>
      <name val="Times New Roman"/>
      <family val="1"/>
    </font>
    <font>
      <b/>
      <sz val="16"/>
      <color theme="4" tint="-0.249977111117893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 applyNumberFormat="0" applyFont="0" applyFill="0" applyBorder="0" applyAlignment="0" applyProtection="0">
      <alignment vertical="justify" textRotation="180"/>
    </xf>
    <xf numFmtId="0" fontId="8" fillId="0" borderId="0"/>
    <xf numFmtId="0" fontId="6" fillId="0" borderId="0" applyNumberFormat="0" applyFont="0" applyFill="0" applyBorder="0" applyAlignment="0" applyProtection="0">
      <alignment vertical="justify" textRotation="180"/>
    </xf>
    <xf numFmtId="0" fontId="1" fillId="0" borderId="0"/>
    <xf numFmtId="165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177" fontId="2" fillId="0" borderId="0" applyFont="0" applyFill="0" applyBorder="0" applyAlignment="0" applyProtection="0"/>
  </cellStyleXfs>
  <cellXfs count="374">
    <xf numFmtId="0" fontId="0" fillId="0" borderId="0" xfId="0"/>
    <xf numFmtId="0" fontId="5" fillId="0" borderId="0" xfId="3" applyFont="1" applyAlignment="1" applyProtection="1">
      <alignment vertical="center"/>
    </xf>
    <xf numFmtId="0" fontId="5" fillId="2" borderId="0" xfId="6" applyFont="1" applyFill="1" applyBorder="1" applyAlignment="1" applyProtection="1">
      <alignment horizontal="center"/>
    </xf>
    <xf numFmtId="0" fontId="5" fillId="2" borderId="0" xfId="6" applyFont="1" applyFill="1" applyBorder="1" applyAlignment="1" applyProtection="1">
      <alignment vertical="top"/>
    </xf>
    <xf numFmtId="4" fontId="7" fillId="0" borderId="3" xfId="16" applyNumberFormat="1" applyFont="1" applyBorder="1" applyAlignment="1">
      <alignment horizontal="right" vertical="top"/>
    </xf>
    <xf numFmtId="0" fontId="8" fillId="0" borderId="0" xfId="17"/>
    <xf numFmtId="168" fontId="9" fillId="0" borderId="0" xfId="16" applyNumberFormat="1" applyFont="1" applyAlignment="1">
      <alignment vertical="top"/>
    </xf>
    <xf numFmtId="166" fontId="9" fillId="0" borderId="0" xfId="16" applyNumberFormat="1" applyFont="1" applyAlignment="1">
      <alignment vertical="top"/>
    </xf>
    <xf numFmtId="169" fontId="7" fillId="0" borderId="0" xfId="18" applyNumberFormat="1" applyFont="1" applyAlignment="1">
      <alignment horizontal="center" vertical="top"/>
    </xf>
    <xf numFmtId="166" fontId="10" fillId="0" borderId="0" xfId="18" applyNumberFormat="1" applyFont="1" applyAlignment="1">
      <alignment horizontal="center" vertical="center"/>
    </xf>
    <xf numFmtId="4" fontId="10" fillId="0" borderId="0" xfId="18" applyNumberFormat="1" applyFont="1" applyAlignment="1">
      <alignment horizontal="center" vertical="top"/>
    </xf>
    <xf numFmtId="4" fontId="7" fillId="0" borderId="0" xfId="16" applyNumberFormat="1" applyFont="1" applyAlignment="1">
      <alignment horizontal="center" vertical="top"/>
    </xf>
    <xf numFmtId="166" fontId="11" fillId="0" borderId="0" xfId="16" applyNumberFormat="1" applyFont="1" applyAlignment="1">
      <alignment horizontal="center" vertical="top"/>
    </xf>
    <xf numFmtId="0" fontId="11" fillId="0" borderId="0" xfId="16" applyFont="1" applyAlignment="1">
      <alignment vertical="top"/>
    </xf>
    <xf numFmtId="166" fontId="10" fillId="0" borderId="0" xfId="16" applyNumberFormat="1" applyFont="1" applyAlignment="1">
      <alignment horizontal="left" vertical="top"/>
    </xf>
    <xf numFmtId="169" fontId="9" fillId="0" borderId="0" xfId="16" applyNumberFormat="1" applyFont="1" applyAlignment="1">
      <alignment vertical="top"/>
    </xf>
    <xf numFmtId="4" fontId="11" fillId="0" borderId="0" xfId="16" applyNumberFormat="1" applyFont="1" applyAlignment="1">
      <alignment horizontal="center" vertical="top"/>
    </xf>
    <xf numFmtId="4" fontId="11" fillId="0" borderId="0" xfId="16" applyNumberFormat="1" applyFont="1" applyAlignment="1">
      <alignment vertical="top"/>
    </xf>
    <xf numFmtId="166" fontId="11" fillId="0" borderId="0" xfId="16" applyNumberFormat="1" applyFont="1" applyAlignment="1">
      <alignment vertical="top"/>
    </xf>
    <xf numFmtId="4" fontId="9" fillId="0" borderId="0" xfId="16" applyNumberFormat="1" applyFont="1" applyAlignment="1">
      <alignment vertical="top"/>
    </xf>
    <xf numFmtId="166" fontId="9" fillId="0" borderId="0" xfId="16" applyNumberFormat="1" applyFont="1" applyAlignment="1">
      <alignment horizontal="left" vertical="top"/>
    </xf>
    <xf numFmtId="4" fontId="9" fillId="3" borderId="4" xfId="16" applyNumberFormat="1" applyFont="1" applyFill="1" applyBorder="1" applyAlignment="1">
      <alignment vertical="top"/>
    </xf>
    <xf numFmtId="166" fontId="9" fillId="3" borderId="4" xfId="16" applyNumberFormat="1" applyFont="1" applyFill="1" applyBorder="1" applyAlignment="1">
      <alignment vertical="top"/>
    </xf>
    <xf numFmtId="169" fontId="9" fillId="3" borderId="4" xfId="16" applyNumberFormat="1" applyFont="1" applyFill="1" applyBorder="1" applyAlignment="1">
      <alignment vertical="top"/>
    </xf>
    <xf numFmtId="166" fontId="7" fillId="3" borderId="4" xfId="16" applyNumberFormat="1" applyFont="1" applyFill="1" applyBorder="1" applyAlignment="1">
      <alignment horizontal="left" vertical="top"/>
    </xf>
    <xf numFmtId="4" fontId="11" fillId="3" borderId="4" xfId="16" applyNumberFormat="1" applyFont="1" applyFill="1" applyBorder="1" applyAlignment="1">
      <alignment vertical="top"/>
    </xf>
    <xf numFmtId="170" fontId="7" fillId="3" borderId="4" xfId="16" applyNumberFormat="1" applyFont="1" applyFill="1" applyBorder="1" applyAlignment="1">
      <alignment vertical="top"/>
    </xf>
    <xf numFmtId="166" fontId="7" fillId="3" borderId="4" xfId="16" applyNumberFormat="1" applyFont="1" applyFill="1" applyBorder="1" applyAlignment="1">
      <alignment horizontal="center" vertical="top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 wrapText="1"/>
    </xf>
    <xf numFmtId="0" fontId="13" fillId="0" borderId="0" xfId="0" applyFont="1"/>
    <xf numFmtId="0" fontId="12" fillId="0" borderId="0" xfId="0" applyFont="1"/>
    <xf numFmtId="0" fontId="14" fillId="0" borderId="0" xfId="0" applyFont="1" applyAlignment="1">
      <alignment horizontal="left" wrapText="1"/>
    </xf>
    <xf numFmtId="165" fontId="15" fillId="0" borderId="0" xfId="0" applyNumberFormat="1" applyFont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center"/>
    </xf>
    <xf numFmtId="171" fontId="13" fillId="0" borderId="0" xfId="0" applyNumberFormat="1" applyFont="1"/>
    <xf numFmtId="171" fontId="14" fillId="0" borderId="0" xfId="0" applyNumberFormat="1" applyFont="1" applyAlignment="1">
      <alignment horizontal="center"/>
    </xf>
    <xf numFmtId="171" fontId="12" fillId="0" borderId="0" xfId="0" applyNumberFormat="1" applyFont="1" applyFill="1" applyAlignment="1">
      <alignment horizontal="center"/>
    </xf>
    <xf numFmtId="171" fontId="14" fillId="0" borderId="0" xfId="0" applyNumberFormat="1" applyFont="1" applyFill="1" applyAlignment="1">
      <alignment horizontal="center"/>
    </xf>
    <xf numFmtId="171" fontId="12" fillId="0" borderId="0" xfId="0" applyNumberFormat="1" applyFont="1" applyAlignment="1">
      <alignment horizontal="center"/>
    </xf>
    <xf numFmtId="171" fontId="14" fillId="4" borderId="0" xfId="0" applyNumberFormat="1" applyFont="1" applyFill="1" applyAlignment="1">
      <alignment horizontal="center"/>
    </xf>
    <xf numFmtId="0" fontId="13" fillId="0" borderId="0" xfId="0" applyFont="1" applyFill="1" applyAlignment="1">
      <alignment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left" wrapText="1"/>
    </xf>
    <xf numFmtId="0" fontId="14" fillId="0" borderId="0" xfId="0" applyFont="1" applyFill="1" applyAlignment="1">
      <alignment horizontal="left" wrapText="1"/>
    </xf>
    <xf numFmtId="0" fontId="15" fillId="0" borderId="0" xfId="0" applyFont="1" applyFill="1" applyAlignment="1">
      <alignment horizontal="left" wrapText="1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wrapText="1"/>
    </xf>
    <xf numFmtId="0" fontId="14" fillId="2" borderId="0" xfId="0" applyFont="1" applyFill="1" applyAlignment="1">
      <alignment horizontal="left" wrapText="1"/>
    </xf>
    <xf numFmtId="0" fontId="13" fillId="0" borderId="0" xfId="0" applyFont="1" applyFill="1"/>
    <xf numFmtId="0" fontId="15" fillId="0" borderId="0" xfId="0" applyFont="1" applyFill="1" applyAlignment="1">
      <alignment horizontal="center"/>
    </xf>
    <xf numFmtId="4" fontId="16" fillId="5" borderId="0" xfId="0" applyNumberFormat="1" applyFont="1" applyFill="1"/>
    <xf numFmtId="0" fontId="16" fillId="5" borderId="0" xfId="0" applyFont="1" applyFill="1"/>
    <xf numFmtId="49" fontId="0" fillId="0" borderId="0" xfId="0" applyNumberFormat="1"/>
    <xf numFmtId="0" fontId="11" fillId="0" borderId="0" xfId="19" applyFont="1" applyAlignment="1">
      <alignment horizontal="left"/>
    </xf>
    <xf numFmtId="0" fontId="11" fillId="0" borderId="0" xfId="19" applyFont="1" applyAlignment="1">
      <alignment horizontal="center"/>
    </xf>
    <xf numFmtId="0" fontId="7" fillId="0" borderId="0" xfId="19" applyFont="1" applyAlignment="1">
      <alignment horizontal="left"/>
    </xf>
    <xf numFmtId="0" fontId="7" fillId="0" borderId="0" xfId="19" applyFont="1" applyAlignment="1">
      <alignment horizontal="center"/>
    </xf>
    <xf numFmtId="4" fontId="11" fillId="0" borderId="0" xfId="19" applyNumberFormat="1" applyFont="1" applyAlignment="1">
      <alignment horizontal="left"/>
    </xf>
    <xf numFmtId="172" fontId="11" fillId="0" borderId="0" xfId="19" applyNumberFormat="1" applyFont="1" applyAlignment="1">
      <alignment horizontal="left"/>
    </xf>
    <xf numFmtId="165" fontId="11" fillId="0" borderId="0" xfId="20" applyFont="1" applyAlignment="1">
      <alignment horizontal="center"/>
    </xf>
    <xf numFmtId="173" fontId="11" fillId="0" borderId="0" xfId="19" applyNumberFormat="1" applyFont="1" applyAlignment="1">
      <alignment horizontal="center"/>
    </xf>
    <xf numFmtId="174" fontId="7" fillId="0" borderId="3" xfId="16" applyNumberFormat="1" applyFont="1" applyBorder="1" applyAlignment="1">
      <alignment horizontal="right" vertical="top"/>
    </xf>
    <xf numFmtId="175" fontId="11" fillId="0" borderId="0" xfId="20" applyNumberFormat="1" applyFont="1" applyAlignment="1">
      <alignment horizontal="center"/>
    </xf>
    <xf numFmtId="0" fontId="17" fillId="0" borderId="0" xfId="0" applyFont="1" applyAlignment="1">
      <alignment horizontal="center"/>
    </xf>
    <xf numFmtId="4" fontId="11" fillId="0" borderId="0" xfId="19" applyNumberFormat="1" applyFont="1" applyAlignment="1">
      <alignment horizontal="left" wrapText="1"/>
    </xf>
    <xf numFmtId="2" fontId="0" fillId="0" borderId="0" xfId="0" applyNumberFormat="1"/>
    <xf numFmtId="2" fontId="7" fillId="0" borderId="0" xfId="18" applyNumberFormat="1" applyFont="1" applyAlignment="1">
      <alignment horizontal="center" vertical="top"/>
    </xf>
    <xf numFmtId="2" fontId="11" fillId="0" borderId="0" xfId="19" applyNumberFormat="1" applyFont="1" applyAlignment="1">
      <alignment horizontal="center"/>
    </xf>
    <xf numFmtId="2" fontId="9" fillId="3" borderId="4" xfId="16" applyNumberFormat="1" applyFont="1" applyFill="1" applyBorder="1" applyAlignment="1">
      <alignment vertical="top"/>
    </xf>
    <xf numFmtId="172" fontId="16" fillId="5" borderId="0" xfId="0" applyNumberFormat="1" applyFont="1" applyFill="1"/>
    <xf numFmtId="172" fontId="0" fillId="0" borderId="0" xfId="0" applyNumberFormat="1"/>
    <xf numFmtId="172" fontId="10" fillId="0" borderId="0" xfId="18" applyNumberFormat="1" applyFont="1" applyAlignment="1">
      <alignment horizontal="center" vertical="top"/>
    </xf>
    <xf numFmtId="172" fontId="7" fillId="0" borderId="0" xfId="16" applyNumberFormat="1" applyFont="1" applyAlignment="1">
      <alignment horizontal="center" vertical="top"/>
    </xf>
    <xf numFmtId="172" fontId="11" fillId="0" borderId="0" xfId="19" applyNumberFormat="1" applyFont="1" applyAlignment="1">
      <alignment horizontal="center"/>
    </xf>
    <xf numFmtId="172" fontId="7" fillId="0" borderId="0" xfId="19" applyNumberFormat="1" applyFont="1" applyAlignment="1">
      <alignment horizontal="center"/>
    </xf>
    <xf numFmtId="172" fontId="11" fillId="3" borderId="4" xfId="16" applyNumberFormat="1" applyFont="1" applyFill="1" applyBorder="1" applyAlignment="1">
      <alignment vertical="top"/>
    </xf>
    <xf numFmtId="172" fontId="9" fillId="3" borderId="4" xfId="16" applyNumberFormat="1" applyFont="1" applyFill="1" applyBorder="1" applyAlignment="1">
      <alignment vertical="top"/>
    </xf>
    <xf numFmtId="172" fontId="17" fillId="0" borderId="0" xfId="0" applyNumberFormat="1" applyFont="1" applyAlignment="1">
      <alignment horizontal="center"/>
    </xf>
    <xf numFmtId="0" fontId="5" fillId="0" borderId="0" xfId="6" applyFont="1" applyBorder="1" applyProtection="1"/>
    <xf numFmtId="0" fontId="5" fillId="0" borderId="0" xfId="6" applyFont="1" applyBorder="1" applyAlignment="1" applyProtection="1">
      <alignment vertical="top"/>
    </xf>
    <xf numFmtId="0" fontId="5" fillId="0" borderId="0" xfId="6" applyFont="1" applyFill="1" applyBorder="1" applyAlignment="1" applyProtection="1">
      <alignment vertical="top"/>
    </xf>
    <xf numFmtId="0" fontId="5" fillId="0" borderId="0" xfId="6" applyFont="1" applyBorder="1" applyAlignment="1" applyProtection="1">
      <alignment vertical="center"/>
    </xf>
    <xf numFmtId="176" fontId="5" fillId="2" borderId="0" xfId="6" applyNumberFormat="1" applyFont="1" applyFill="1" applyBorder="1" applyAlignment="1" applyProtection="1"/>
    <xf numFmtId="0" fontId="5" fillId="0" borderId="0" xfId="6" applyFont="1" applyFill="1" applyBorder="1" applyAlignment="1" applyProtection="1">
      <alignment horizontal="center"/>
    </xf>
    <xf numFmtId="0" fontId="5" fillId="0" borderId="0" xfId="6" applyFont="1" applyFill="1" applyBorder="1" applyProtection="1"/>
    <xf numFmtId="40" fontId="5" fillId="0" borderId="0" xfId="3" applyNumberFormat="1" applyFont="1" applyAlignment="1" applyProtection="1">
      <alignment vertical="center"/>
    </xf>
    <xf numFmtId="170" fontId="5" fillId="0" borderId="0" xfId="3" applyNumberFormat="1" applyFont="1" applyAlignment="1" applyProtection="1">
      <alignment vertical="center"/>
    </xf>
    <xf numFmtId="176" fontId="5" fillId="0" borderId="0" xfId="3" applyNumberFormat="1" applyFont="1" applyAlignment="1" applyProtection="1">
      <alignment vertical="center"/>
    </xf>
    <xf numFmtId="0" fontId="5" fillId="2" borderId="0" xfId="6" applyFont="1" applyFill="1" applyBorder="1" applyAlignment="1" applyProtection="1">
      <alignment horizontal="left" vertical="top" wrapText="1"/>
    </xf>
    <xf numFmtId="0" fontId="5" fillId="2" borderId="0" xfId="6" applyFont="1" applyFill="1" applyBorder="1" applyAlignment="1" applyProtection="1">
      <alignment horizontal="right"/>
    </xf>
    <xf numFmtId="165" fontId="5" fillId="2" borderId="0" xfId="5" applyFont="1" applyFill="1" applyBorder="1" applyAlignment="1" applyProtection="1">
      <alignment horizontal="right"/>
    </xf>
    <xf numFmtId="9" fontId="11" fillId="0" borderId="0" xfId="21" applyFont="1" applyAlignment="1">
      <alignment horizontal="center"/>
    </xf>
    <xf numFmtId="49" fontId="11" fillId="0" borderId="0" xfId="19" applyNumberFormat="1" applyFont="1" applyAlignment="1">
      <alignment horizontal="left"/>
    </xf>
    <xf numFmtId="165" fontId="5" fillId="0" borderId="0" xfId="6" applyNumberFormat="1" applyFont="1" applyBorder="1" applyProtection="1"/>
    <xf numFmtId="44" fontId="0" fillId="0" borderId="0" xfId="1" applyFont="1"/>
    <xf numFmtId="44" fontId="0" fillId="0" borderId="0" xfId="0" applyNumberFormat="1"/>
    <xf numFmtId="165" fontId="0" fillId="0" borderId="0" xfId="0" applyNumberFormat="1"/>
    <xf numFmtId="44" fontId="0" fillId="6" borderId="0" xfId="1" applyFont="1" applyFill="1"/>
    <xf numFmtId="44" fontId="18" fillId="6" borderId="0" xfId="1" applyFont="1" applyFill="1"/>
    <xf numFmtId="44" fontId="0" fillId="6" borderId="0" xfId="0" applyNumberFormat="1" applyFill="1"/>
    <xf numFmtId="0" fontId="18" fillId="8" borderId="0" xfId="0" applyFont="1" applyFill="1"/>
    <xf numFmtId="44" fontId="0" fillId="8" borderId="0" xfId="1" applyFont="1" applyFill="1"/>
    <xf numFmtId="44" fontId="18" fillId="8" borderId="0" xfId="1" applyFont="1" applyFill="1"/>
    <xf numFmtId="0" fontId="5" fillId="0" borderId="0" xfId="6" applyFont="1" applyFill="1" applyBorder="1" applyAlignment="1" applyProtection="1">
      <alignment horizontal="left" vertical="top" wrapText="1"/>
    </xf>
    <xf numFmtId="0" fontId="5" fillId="0" borderId="0" xfId="6" applyFont="1" applyFill="1" applyBorder="1" applyAlignment="1" applyProtection="1">
      <alignment horizontal="right"/>
    </xf>
    <xf numFmtId="165" fontId="5" fillId="0" borderId="0" xfId="5" applyFont="1" applyFill="1" applyBorder="1" applyAlignment="1" applyProtection="1">
      <alignment horizontal="right"/>
    </xf>
    <xf numFmtId="176" fontId="5" fillId="0" borderId="0" xfId="6" applyNumberFormat="1" applyFont="1" applyFill="1" applyBorder="1" applyAlignment="1" applyProtection="1"/>
    <xf numFmtId="166" fontId="19" fillId="0" borderId="1" xfId="4" applyNumberFormat="1" applyFont="1" applyFill="1" applyBorder="1" applyAlignment="1" applyProtection="1">
      <alignment horizontal="right" vertical="center"/>
    </xf>
    <xf numFmtId="166" fontId="19" fillId="0" borderId="0" xfId="4" applyNumberFormat="1" applyFont="1" applyFill="1" applyBorder="1" applyAlignment="1" applyProtection="1">
      <alignment horizontal="right" vertical="center" wrapText="1"/>
    </xf>
    <xf numFmtId="166" fontId="19" fillId="0" borderId="0" xfId="4" applyNumberFormat="1" applyFont="1" applyFill="1" applyBorder="1" applyAlignment="1" applyProtection="1">
      <alignment horizontal="right" vertical="center"/>
    </xf>
    <xf numFmtId="176" fontId="19" fillId="0" borderId="2" xfId="4" applyNumberFormat="1" applyFont="1" applyFill="1" applyBorder="1" applyAlignment="1" applyProtection="1">
      <alignment vertical="center"/>
    </xf>
    <xf numFmtId="0" fontId="20" fillId="0" borderId="0" xfId="6" applyFont="1" applyFill="1" applyBorder="1" applyAlignment="1" applyProtection="1">
      <alignment vertical="top"/>
    </xf>
    <xf numFmtId="0" fontId="20" fillId="0" borderId="0" xfId="6" applyFont="1" applyFill="1" applyBorder="1" applyAlignment="1" applyProtection="1">
      <alignment horizontal="left" vertical="top" wrapText="1"/>
    </xf>
    <xf numFmtId="0" fontId="20" fillId="0" borderId="0" xfId="6" applyFont="1" applyFill="1" applyBorder="1" applyAlignment="1" applyProtection="1">
      <alignment horizontal="right"/>
    </xf>
    <xf numFmtId="0" fontId="20" fillId="0" borderId="0" xfId="6" applyFont="1" applyFill="1" applyBorder="1" applyAlignment="1" applyProtection="1">
      <alignment horizontal="center"/>
    </xf>
    <xf numFmtId="165" fontId="20" fillId="0" borderId="0" xfId="5" applyFont="1" applyFill="1" applyBorder="1" applyAlignment="1" applyProtection="1">
      <alignment horizontal="right"/>
    </xf>
    <xf numFmtId="176" fontId="20" fillId="0" borderId="0" xfId="6" applyNumberFormat="1" applyFont="1" applyFill="1" applyBorder="1" applyAlignment="1" applyProtection="1"/>
    <xf numFmtId="0" fontId="22" fillId="0" borderId="2" xfId="0" applyFont="1" applyFill="1" applyBorder="1" applyAlignment="1">
      <alignment horizontal="right" vertical="center" wrapText="1"/>
    </xf>
    <xf numFmtId="0" fontId="21" fillId="0" borderId="0" xfId="0" applyFont="1" applyBorder="1"/>
    <xf numFmtId="0" fontId="21" fillId="0" borderId="2" xfId="0" applyFont="1" applyBorder="1"/>
    <xf numFmtId="4" fontId="25" fillId="0" borderId="1" xfId="4" applyNumberFormat="1" applyFont="1" applyFill="1" applyBorder="1" applyAlignment="1" applyProtection="1">
      <alignment horizontal="center" vertical="center"/>
    </xf>
    <xf numFmtId="0" fontId="25" fillId="2" borderId="0" xfId="4" applyFont="1" applyFill="1" applyBorder="1" applyAlignment="1" applyProtection="1">
      <alignment horizontal="left" vertical="center" wrapText="1"/>
    </xf>
    <xf numFmtId="4" fontId="25" fillId="2" borderId="1" xfId="4" applyNumberFormat="1" applyFont="1" applyFill="1" applyBorder="1" applyAlignment="1" applyProtection="1">
      <alignment horizontal="center" vertical="center"/>
    </xf>
    <xf numFmtId="0" fontId="25" fillId="2" borderId="0" xfId="4" applyFont="1" applyFill="1" applyBorder="1" applyAlignment="1" applyProtection="1">
      <alignment horizontal="center" vertical="center"/>
    </xf>
    <xf numFmtId="176" fontId="22" fillId="2" borderId="0" xfId="6" applyNumberFormat="1" applyFont="1" applyFill="1" applyBorder="1" applyAlignment="1" applyProtection="1">
      <alignment horizontal="right" vertical="center"/>
    </xf>
    <xf numFmtId="165" fontId="25" fillId="2" borderId="0" xfId="4" applyNumberFormat="1" applyFont="1" applyFill="1" applyBorder="1" applyAlignment="1" applyProtection="1">
      <alignment vertical="center"/>
    </xf>
    <xf numFmtId="165" fontId="25" fillId="2" borderId="0" xfId="22" applyNumberFormat="1" applyFont="1" applyFill="1" applyBorder="1" applyAlignment="1" applyProtection="1">
      <alignment vertical="center"/>
      <protection locked="0"/>
    </xf>
    <xf numFmtId="176" fontId="24" fillId="2" borderId="2" xfId="4" applyNumberFormat="1" applyFont="1" applyFill="1" applyBorder="1" applyAlignment="1" applyProtection="1">
      <alignment vertical="center"/>
    </xf>
    <xf numFmtId="164" fontId="23" fillId="2" borderId="0" xfId="23" applyNumberFormat="1" applyFont="1" applyFill="1" applyBorder="1" applyAlignment="1" applyProtection="1">
      <alignment horizontal="justify" vertical="center" wrapText="1"/>
    </xf>
    <xf numFmtId="165" fontId="23" fillId="2" borderId="0" xfId="5" applyFont="1" applyFill="1" applyBorder="1" applyAlignment="1" applyProtection="1">
      <alignment vertical="center" wrapText="1"/>
    </xf>
    <xf numFmtId="165" fontId="23" fillId="2" borderId="0" xfId="5" applyFont="1" applyFill="1" applyBorder="1" applyAlignment="1" applyProtection="1">
      <alignment vertical="center" wrapText="1"/>
      <protection locked="0"/>
    </xf>
    <xf numFmtId="0" fontId="23" fillId="2" borderId="0" xfId="23" applyFont="1" applyFill="1" applyBorder="1" applyAlignment="1" applyProtection="1">
      <alignment horizontal="center" vertical="center" wrapText="1"/>
    </xf>
    <xf numFmtId="0" fontId="23" fillId="2" borderId="0" xfId="23" applyFont="1" applyFill="1" applyBorder="1" applyAlignment="1" applyProtection="1">
      <alignment horizontal="justify" vertical="center" wrapText="1"/>
    </xf>
    <xf numFmtId="176" fontId="25" fillId="2" borderId="2" xfId="4" applyNumberFormat="1" applyFont="1" applyFill="1" applyBorder="1" applyAlignment="1" applyProtection="1">
      <alignment vertical="center"/>
    </xf>
    <xf numFmtId="176" fontId="23" fillId="2" borderId="2" xfId="6" applyNumberFormat="1" applyFont="1" applyFill="1" applyBorder="1" applyAlignment="1" applyProtection="1">
      <alignment vertical="center"/>
    </xf>
    <xf numFmtId="4" fontId="23" fillId="2" borderId="0" xfId="5" applyNumberFormat="1" applyFont="1" applyFill="1" applyBorder="1" applyAlignment="1" applyProtection="1">
      <alignment vertical="center" wrapText="1"/>
    </xf>
    <xf numFmtId="4" fontId="23" fillId="2" borderId="0" xfId="23" applyNumberFormat="1" applyFont="1" applyFill="1" applyBorder="1" applyAlignment="1" applyProtection="1">
      <alignment horizontal="center" vertical="center" wrapText="1"/>
    </xf>
    <xf numFmtId="165" fontId="23" fillId="2" borderId="0" xfId="5" applyFont="1" applyFill="1" applyBorder="1" applyAlignment="1" applyProtection="1">
      <alignment horizontal="right" vertical="center" wrapText="1"/>
      <protection locked="0"/>
    </xf>
    <xf numFmtId="0" fontId="23" fillId="2" borderId="0" xfId="6" applyFont="1" applyFill="1" applyBorder="1" applyAlignment="1" applyProtection="1">
      <alignment vertical="center"/>
    </xf>
    <xf numFmtId="2" fontId="23" fillId="2" borderId="0" xfId="5" applyNumberFormat="1" applyFont="1" applyFill="1" applyBorder="1" applyAlignment="1" applyProtection="1">
      <alignment vertical="center" wrapText="1"/>
    </xf>
    <xf numFmtId="4" fontId="23" fillId="2" borderId="0" xfId="5" applyNumberFormat="1" applyFont="1" applyFill="1" applyBorder="1" applyAlignment="1" applyProtection="1">
      <alignment vertical="center" wrapText="1"/>
      <protection locked="0"/>
    </xf>
    <xf numFmtId="0" fontId="23" fillId="2" borderId="1" xfId="6" applyFont="1" applyFill="1" applyBorder="1" applyAlignment="1" applyProtection="1">
      <alignment vertical="center"/>
    </xf>
    <xf numFmtId="0" fontId="23" fillId="2" borderId="0" xfId="6" applyFont="1" applyFill="1" applyBorder="1" applyAlignment="1" applyProtection="1">
      <alignment vertical="center" wrapText="1"/>
    </xf>
    <xf numFmtId="0" fontId="23" fillId="2" borderId="0" xfId="6" applyFont="1" applyFill="1" applyBorder="1" applyAlignment="1" applyProtection="1">
      <alignment vertical="center"/>
      <protection locked="0"/>
    </xf>
    <xf numFmtId="176" fontId="23" fillId="2" borderId="0" xfId="6" applyNumberFormat="1" applyFont="1" applyFill="1" applyBorder="1" applyAlignment="1" applyProtection="1">
      <alignment vertical="center"/>
    </xf>
    <xf numFmtId="4" fontId="25" fillId="2" borderId="1" xfId="22" applyNumberFormat="1" applyFont="1" applyFill="1" applyBorder="1" applyAlignment="1" applyProtection="1">
      <alignment vertical="center"/>
    </xf>
    <xf numFmtId="0" fontId="23" fillId="2" borderId="0" xfId="23" applyFont="1" applyFill="1" applyBorder="1" applyAlignment="1" applyProtection="1">
      <alignment vertical="center" wrapText="1"/>
    </xf>
    <xf numFmtId="165" fontId="23" fillId="2" borderId="0" xfId="8" applyFont="1" applyFill="1" applyBorder="1" applyAlignment="1" applyProtection="1">
      <alignment vertical="center"/>
    </xf>
    <xf numFmtId="39" fontId="23" fillId="2" borderId="0" xfId="6" applyNumberFormat="1" applyFont="1" applyFill="1" applyBorder="1" applyAlignment="1" applyProtection="1">
      <alignment horizontal="center" vertical="center"/>
    </xf>
    <xf numFmtId="165" fontId="25" fillId="2" borderId="0" xfId="5" applyFont="1" applyFill="1" applyBorder="1" applyAlignment="1" applyProtection="1">
      <alignment vertical="center" wrapText="1"/>
      <protection locked="0"/>
    </xf>
    <xf numFmtId="4" fontId="23" fillId="2" borderId="0" xfId="23" applyNumberFormat="1" applyFont="1" applyFill="1" applyBorder="1" applyAlignment="1" applyProtection="1">
      <alignment horizontal="right" vertical="center" wrapText="1"/>
      <protection locked="0"/>
    </xf>
    <xf numFmtId="2" fontId="23" fillId="0" borderId="1" xfId="6" applyNumberFormat="1" applyFont="1" applyFill="1" applyBorder="1" applyAlignment="1" applyProtection="1">
      <alignment horizontal="center" vertical="center"/>
    </xf>
    <xf numFmtId="4" fontId="23" fillId="2" borderId="0" xfId="7" applyNumberFormat="1" applyFont="1" applyFill="1" applyBorder="1" applyAlignment="1" applyProtection="1">
      <alignment vertical="center"/>
      <protection locked="0"/>
    </xf>
    <xf numFmtId="167" fontId="26" fillId="0" borderId="0" xfId="1" applyNumberFormat="1" applyFont="1" applyFill="1" applyBorder="1" applyAlignment="1" applyProtection="1">
      <alignment horizontal="right" vertical="center"/>
    </xf>
    <xf numFmtId="0" fontId="23" fillId="2" borderId="0" xfId="6" applyFont="1" applyFill="1" applyBorder="1" applyAlignment="1" applyProtection="1">
      <alignment horizontal="center" vertical="center"/>
    </xf>
    <xf numFmtId="176" fontId="24" fillId="0" borderId="2" xfId="4" applyNumberFormat="1" applyFont="1" applyFill="1" applyBorder="1" applyAlignment="1" applyProtection="1">
      <alignment vertical="center"/>
    </xf>
    <xf numFmtId="2" fontId="23" fillId="2" borderId="0" xfId="6" applyNumberFormat="1" applyFont="1" applyFill="1" applyBorder="1" applyAlignment="1" applyProtection="1">
      <alignment horizontal="right" vertical="center"/>
      <protection locked="0"/>
    </xf>
    <xf numFmtId="2" fontId="23" fillId="2" borderId="0" xfId="6" applyNumberFormat="1" applyFont="1" applyFill="1" applyBorder="1" applyAlignment="1" applyProtection="1">
      <alignment vertical="center"/>
    </xf>
    <xf numFmtId="4" fontId="22" fillId="0" borderId="1" xfId="4" quotePrefix="1" applyNumberFormat="1" applyFont="1" applyFill="1" applyBorder="1" applyAlignment="1" applyProtection="1">
      <alignment horizontal="right" vertical="center"/>
    </xf>
    <xf numFmtId="4" fontId="22" fillId="0" borderId="0" xfId="4" quotePrefix="1" applyNumberFormat="1" applyFont="1" applyFill="1" applyBorder="1" applyAlignment="1" applyProtection="1">
      <alignment horizontal="right" vertical="center"/>
    </xf>
    <xf numFmtId="4" fontId="25" fillId="2" borderId="1" xfId="4" applyNumberFormat="1" applyFont="1" applyFill="1" applyBorder="1" applyAlignment="1" applyProtection="1">
      <alignment vertical="center"/>
    </xf>
    <xf numFmtId="4" fontId="25" fillId="2" borderId="0" xfId="4" applyNumberFormat="1" applyFont="1" applyFill="1" applyBorder="1" applyAlignment="1" applyProtection="1">
      <alignment vertical="center" wrapText="1"/>
    </xf>
    <xf numFmtId="4" fontId="25" fillId="2" borderId="0" xfId="4" applyNumberFormat="1" applyFont="1" applyFill="1" applyBorder="1" applyAlignment="1" applyProtection="1">
      <alignment vertical="center"/>
    </xf>
    <xf numFmtId="4" fontId="25" fillId="2" borderId="0" xfId="4" applyNumberFormat="1" applyFont="1" applyFill="1" applyBorder="1" applyAlignment="1" applyProtection="1">
      <alignment horizontal="center" vertical="center"/>
    </xf>
    <xf numFmtId="176" fontId="25" fillId="2" borderId="0" xfId="4" applyNumberFormat="1" applyFont="1" applyFill="1" applyBorder="1" applyAlignment="1" applyProtection="1">
      <alignment vertical="center"/>
    </xf>
    <xf numFmtId="0" fontId="20" fillId="0" borderId="1" xfId="6" applyFont="1" applyFill="1" applyBorder="1" applyAlignment="1" applyProtection="1">
      <alignment vertical="top"/>
    </xf>
    <xf numFmtId="176" fontId="20" fillId="0" borderId="2" xfId="6" applyNumberFormat="1" applyFont="1" applyFill="1" applyBorder="1" applyAlignment="1" applyProtection="1"/>
    <xf numFmtId="0" fontId="20" fillId="0" borderId="16" xfId="6" applyFont="1" applyFill="1" applyBorder="1" applyAlignment="1" applyProtection="1">
      <alignment vertical="top"/>
    </xf>
    <xf numFmtId="0" fontId="22" fillId="9" borderId="0" xfId="7" applyFont="1" applyFill="1" applyBorder="1" applyAlignment="1">
      <alignment horizontal="center" vertical="center"/>
    </xf>
    <xf numFmtId="0" fontId="23" fillId="9" borderId="2" xfId="7" applyFont="1" applyFill="1" applyBorder="1" applyAlignment="1">
      <alignment vertical="center"/>
    </xf>
    <xf numFmtId="0" fontId="22" fillId="0" borderId="1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 wrapText="1"/>
    </xf>
    <xf numFmtId="178" fontId="22" fillId="7" borderId="10" xfId="0" applyNumberFormat="1" applyFont="1" applyFill="1" applyBorder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178" fontId="22" fillId="10" borderId="7" xfId="0" applyNumberFormat="1" applyFont="1" applyFill="1" applyBorder="1" applyAlignment="1">
      <alignment horizontal="center" vertical="center"/>
    </xf>
    <xf numFmtId="0" fontId="22" fillId="10" borderId="8" xfId="0" applyFont="1" applyFill="1" applyBorder="1" applyAlignment="1">
      <alignment horizontal="left" vertical="center"/>
    </xf>
    <xf numFmtId="0" fontId="22" fillId="10" borderId="8" xfId="0" applyFont="1" applyFill="1" applyBorder="1" applyAlignment="1">
      <alignment horizontal="center" vertical="center"/>
    </xf>
    <xf numFmtId="0" fontId="22" fillId="10" borderId="18" xfId="0" applyFont="1" applyFill="1" applyBorder="1" applyAlignment="1">
      <alignment horizontal="center" vertical="center"/>
    </xf>
    <xf numFmtId="4" fontId="25" fillId="0" borderId="36" xfId="4" applyNumberFormat="1" applyFont="1" applyFill="1" applyBorder="1" applyAlignment="1" applyProtection="1">
      <alignment horizontal="center" vertical="center"/>
    </xf>
    <xf numFmtId="0" fontId="23" fillId="0" borderId="23" xfId="6" applyFont="1" applyFill="1" applyBorder="1" applyAlignment="1" applyProtection="1">
      <alignment vertical="center" wrapText="1"/>
    </xf>
    <xf numFmtId="165" fontId="25" fillId="0" borderId="23" xfId="4" applyNumberFormat="1" applyFont="1" applyFill="1" applyBorder="1" applyAlignment="1" applyProtection="1">
      <alignment horizontal="center" vertical="center"/>
    </xf>
    <xf numFmtId="0" fontId="25" fillId="0" borderId="23" xfId="4" applyFont="1" applyFill="1" applyBorder="1" applyAlignment="1" applyProtection="1">
      <alignment horizontal="center" vertical="center"/>
    </xf>
    <xf numFmtId="165" fontId="25" fillId="0" borderId="23" xfId="22" applyNumberFormat="1" applyFont="1" applyFill="1" applyBorder="1" applyAlignment="1" applyProtection="1">
      <alignment horizontal="center" vertical="center"/>
      <protection locked="0"/>
    </xf>
    <xf numFmtId="176" fontId="25" fillId="0" borderId="24" xfId="4" applyNumberFormat="1" applyFont="1" applyFill="1" applyBorder="1" applyAlignment="1" applyProtection="1">
      <alignment horizontal="center" vertical="center"/>
    </xf>
    <xf numFmtId="176" fontId="24" fillId="2" borderId="21" xfId="4" applyNumberFormat="1" applyFont="1" applyFill="1" applyBorder="1" applyAlignment="1" applyProtection="1">
      <alignment horizontal="right" vertical="center"/>
    </xf>
    <xf numFmtId="4" fontId="25" fillId="0" borderId="14" xfId="4" applyNumberFormat="1" applyFont="1" applyFill="1" applyBorder="1" applyAlignment="1" applyProtection="1">
      <alignment horizontal="center" vertical="center"/>
    </xf>
    <xf numFmtId="0" fontId="23" fillId="0" borderId="9" xfId="6" applyFont="1" applyFill="1" applyBorder="1" applyAlignment="1" applyProtection="1">
      <alignment vertical="center" wrapText="1"/>
    </xf>
    <xf numFmtId="165" fontId="25" fillId="0" borderId="9" xfId="4" applyNumberFormat="1" applyFont="1" applyFill="1" applyBorder="1" applyAlignment="1" applyProtection="1">
      <alignment horizontal="center" vertical="center"/>
    </xf>
    <xf numFmtId="0" fontId="25" fillId="0" borderId="9" xfId="4" applyFont="1" applyFill="1" applyBorder="1" applyAlignment="1" applyProtection="1">
      <alignment horizontal="center" vertical="center"/>
    </xf>
    <xf numFmtId="165" fontId="25" fillId="0" borderId="9" xfId="22" applyNumberFormat="1" applyFont="1" applyFill="1" applyBorder="1" applyAlignment="1" applyProtection="1">
      <alignment horizontal="center" vertical="center"/>
      <protection locked="0"/>
    </xf>
    <xf numFmtId="176" fontId="25" fillId="0" borderId="19" xfId="4" applyNumberFormat="1" applyFont="1" applyFill="1" applyBorder="1" applyAlignment="1" applyProtection="1">
      <alignment horizontal="center" vertical="center"/>
    </xf>
    <xf numFmtId="0" fontId="25" fillId="0" borderId="9" xfId="4" applyFont="1" applyFill="1" applyBorder="1" applyAlignment="1" applyProtection="1">
      <alignment horizontal="left" vertical="center" wrapText="1"/>
    </xf>
    <xf numFmtId="0" fontId="25" fillId="2" borderId="9" xfId="4" applyFont="1" applyFill="1" applyBorder="1" applyAlignment="1" applyProtection="1">
      <alignment horizontal="left" vertical="center" wrapText="1"/>
    </xf>
    <xf numFmtId="165" fontId="25" fillId="2" borderId="9" xfId="4" applyNumberFormat="1" applyFont="1" applyFill="1" applyBorder="1" applyAlignment="1" applyProtection="1">
      <alignment horizontal="center" vertical="center"/>
    </xf>
    <xf numFmtId="4" fontId="25" fillId="2" borderId="14" xfId="4" applyNumberFormat="1" applyFont="1" applyFill="1" applyBorder="1" applyAlignment="1" applyProtection="1">
      <alignment horizontal="center" vertical="center"/>
    </xf>
    <xf numFmtId="0" fontId="25" fillId="2" borderId="9" xfId="4" applyFont="1" applyFill="1" applyBorder="1" applyAlignment="1" applyProtection="1">
      <alignment horizontal="center" vertical="center"/>
    </xf>
    <xf numFmtId="165" fontId="25" fillId="2" borderId="9" xfId="22" applyNumberFormat="1" applyFont="1" applyFill="1" applyBorder="1" applyAlignment="1" applyProtection="1">
      <alignment horizontal="center" vertical="center"/>
      <protection locked="0"/>
    </xf>
    <xf numFmtId="176" fontId="22" fillId="2" borderId="19" xfId="6" applyNumberFormat="1" applyFont="1" applyFill="1" applyBorder="1" applyAlignment="1" applyProtection="1">
      <alignment horizontal="right" vertical="center"/>
    </xf>
    <xf numFmtId="176" fontId="24" fillId="2" borderId="22" xfId="4" applyNumberFormat="1" applyFont="1" applyFill="1" applyBorder="1" applyAlignment="1" applyProtection="1">
      <alignment horizontal="right" vertical="center"/>
    </xf>
    <xf numFmtId="0" fontId="25" fillId="0" borderId="23" xfId="4" applyFont="1" applyFill="1" applyBorder="1" applyAlignment="1" applyProtection="1">
      <alignment horizontal="left" vertical="center" wrapText="1"/>
    </xf>
    <xf numFmtId="165" fontId="25" fillId="0" borderId="23" xfId="4" applyNumberFormat="1" applyFont="1" applyFill="1" applyBorder="1" applyAlignment="1" applyProtection="1">
      <alignment vertical="center"/>
    </xf>
    <xf numFmtId="165" fontId="25" fillId="0" borderId="23" xfId="4" applyNumberFormat="1" applyFont="1" applyFill="1" applyBorder="1" applyAlignment="1" applyProtection="1">
      <alignment horizontal="center" vertical="center"/>
      <protection locked="0"/>
    </xf>
    <xf numFmtId="165" fontId="25" fillId="0" borderId="9" xfId="4" applyNumberFormat="1" applyFont="1" applyFill="1" applyBorder="1" applyAlignment="1" applyProtection="1">
      <alignment vertical="center"/>
    </xf>
    <xf numFmtId="165" fontId="25" fillId="0" borderId="9" xfId="4" applyNumberFormat="1" applyFont="1" applyFill="1" applyBorder="1" applyAlignment="1" applyProtection="1">
      <alignment horizontal="center" vertical="center"/>
      <protection locked="0"/>
    </xf>
    <xf numFmtId="165" fontId="25" fillId="0" borderId="9" xfId="22" applyNumberFormat="1" applyFont="1" applyFill="1" applyBorder="1" applyAlignment="1" applyProtection="1">
      <alignment vertical="center"/>
      <protection locked="0"/>
    </xf>
    <xf numFmtId="4" fontId="25" fillId="2" borderId="36" xfId="4" applyNumberFormat="1" applyFont="1" applyFill="1" applyBorder="1" applyAlignment="1" applyProtection="1">
      <alignment horizontal="center" vertical="center"/>
    </xf>
    <xf numFmtId="165" fontId="23" fillId="0" borderId="23" xfId="5" applyFont="1" applyFill="1" applyBorder="1" applyAlignment="1" applyProtection="1">
      <alignment vertical="center" wrapText="1"/>
    </xf>
    <xf numFmtId="165" fontId="23" fillId="0" borderId="23" xfId="5" applyFont="1" applyFill="1" applyBorder="1" applyAlignment="1" applyProtection="1">
      <alignment vertical="center" wrapText="1"/>
      <protection locked="0"/>
    </xf>
    <xf numFmtId="176" fontId="23" fillId="0" borderId="24" xfId="5" applyNumberFormat="1" applyFont="1" applyFill="1" applyBorder="1" applyAlignment="1" applyProtection="1">
      <alignment vertical="center" wrapText="1"/>
    </xf>
    <xf numFmtId="165" fontId="23" fillId="0" borderId="9" xfId="5" applyFont="1" applyFill="1" applyBorder="1" applyAlignment="1" applyProtection="1">
      <alignment vertical="center" wrapText="1"/>
    </xf>
    <xf numFmtId="165" fontId="25" fillId="0" borderId="9" xfId="5" applyFont="1" applyFill="1" applyBorder="1" applyAlignment="1" applyProtection="1">
      <alignment vertical="center" wrapText="1"/>
      <protection locked="0"/>
    </xf>
    <xf numFmtId="176" fontId="23" fillId="0" borderId="19" xfId="5" applyNumberFormat="1" applyFont="1" applyFill="1" applyBorder="1" applyAlignment="1" applyProtection="1">
      <alignment vertical="center" wrapText="1"/>
    </xf>
    <xf numFmtId="0" fontId="23" fillId="0" borderId="9" xfId="23" applyFont="1" applyFill="1" applyBorder="1" applyAlignment="1" applyProtection="1">
      <alignment horizontal="justify" vertical="center" wrapText="1"/>
    </xf>
    <xf numFmtId="165" fontId="23" fillId="0" borderId="9" xfId="5" applyFont="1" applyFill="1" applyBorder="1" applyAlignment="1" applyProtection="1">
      <alignment vertical="center" wrapText="1"/>
      <protection locked="0"/>
    </xf>
    <xf numFmtId="176" fontId="24" fillId="2" borderId="21" xfId="4" applyNumberFormat="1" applyFont="1" applyFill="1" applyBorder="1" applyAlignment="1" applyProtection="1">
      <alignment vertical="center"/>
    </xf>
    <xf numFmtId="176" fontId="24" fillId="2" borderId="22" xfId="4" applyNumberFormat="1" applyFont="1" applyFill="1" applyBorder="1" applyAlignment="1" applyProtection="1">
      <alignment vertical="center"/>
    </xf>
    <xf numFmtId="0" fontId="23" fillId="0" borderId="23" xfId="23" applyFont="1" applyFill="1" applyBorder="1" applyAlignment="1" applyProtection="1">
      <alignment horizontal="justify" vertical="center" wrapText="1"/>
    </xf>
    <xf numFmtId="0" fontId="23" fillId="0" borderId="23" xfId="23" applyFont="1" applyFill="1" applyBorder="1" applyAlignment="1" applyProtection="1">
      <alignment horizontal="center" vertical="center" wrapText="1"/>
    </xf>
    <xf numFmtId="0" fontId="23" fillId="0" borderId="9" xfId="23" applyFont="1" applyFill="1" applyBorder="1" applyAlignment="1" applyProtection="1">
      <alignment horizontal="center" vertical="center" wrapText="1"/>
    </xf>
    <xf numFmtId="176" fontId="25" fillId="2" borderId="21" xfId="4" applyNumberFormat="1" applyFont="1" applyFill="1" applyBorder="1" applyAlignment="1" applyProtection="1">
      <alignment vertical="center"/>
    </xf>
    <xf numFmtId="165" fontId="21" fillId="0" borderId="9" xfId="5" applyFont="1" applyFill="1" applyBorder="1" applyAlignment="1" applyProtection="1">
      <alignment vertical="center" wrapText="1"/>
      <protection locked="0"/>
    </xf>
    <xf numFmtId="176" fontId="23" fillId="2" borderId="21" xfId="6" applyNumberFormat="1" applyFont="1" applyFill="1" applyBorder="1" applyAlignment="1" applyProtection="1">
      <alignment vertical="center"/>
    </xf>
    <xf numFmtId="4" fontId="23" fillId="0" borderId="23" xfId="23" applyNumberFormat="1" applyFont="1" applyFill="1" applyBorder="1" applyAlignment="1" applyProtection="1">
      <alignment horizontal="center" vertical="center" wrapText="1"/>
    </xf>
    <xf numFmtId="4" fontId="23" fillId="0" borderId="23" xfId="5" applyNumberFormat="1" applyFont="1" applyFill="1" applyBorder="1" applyAlignment="1" applyProtection="1">
      <alignment vertical="center" wrapText="1"/>
      <protection locked="0"/>
    </xf>
    <xf numFmtId="4" fontId="23" fillId="0" borderId="9" xfId="23" applyNumberFormat="1" applyFont="1" applyFill="1" applyBorder="1" applyAlignment="1" applyProtection="1">
      <alignment horizontal="center" vertical="center" wrapText="1"/>
    </xf>
    <xf numFmtId="4" fontId="23" fillId="0" borderId="9" xfId="5" applyNumberFormat="1" applyFont="1" applyFill="1" applyBorder="1" applyAlignment="1" applyProtection="1">
      <alignment vertical="center" wrapText="1"/>
      <protection locked="0"/>
    </xf>
    <xf numFmtId="165" fontId="25" fillId="0" borderId="23" xfId="5" applyFont="1" applyFill="1" applyBorder="1" applyAlignment="1" applyProtection="1">
      <alignment vertical="center" wrapText="1"/>
      <protection locked="0"/>
    </xf>
    <xf numFmtId="4" fontId="25" fillId="0" borderId="23" xfId="5" applyNumberFormat="1" applyFont="1" applyFill="1" applyBorder="1" applyAlignment="1" applyProtection="1">
      <alignment vertical="center" wrapText="1"/>
      <protection locked="0"/>
    </xf>
    <xf numFmtId="176" fontId="24" fillId="2" borderId="20" xfId="4" applyNumberFormat="1" applyFont="1" applyFill="1" applyBorder="1" applyAlignment="1" applyProtection="1">
      <alignment vertical="center"/>
    </xf>
    <xf numFmtId="39" fontId="23" fillId="0" borderId="9" xfId="6" applyNumberFormat="1" applyFont="1" applyFill="1" applyBorder="1" applyAlignment="1" applyProtection="1">
      <alignment horizontal="center" vertical="center"/>
    </xf>
    <xf numFmtId="4" fontId="23" fillId="0" borderId="9" xfId="7" applyNumberFormat="1" applyFont="1" applyFill="1" applyBorder="1" applyAlignment="1" applyProtection="1">
      <alignment vertical="center"/>
      <protection locked="0"/>
    </xf>
    <xf numFmtId="167" fontId="23" fillId="0" borderId="19" xfId="1" applyNumberFormat="1" applyFont="1" applyFill="1" applyBorder="1" applyAlignment="1" applyProtection="1">
      <alignment vertical="center" wrapText="1"/>
    </xf>
    <xf numFmtId="4" fontId="25" fillId="2" borderId="36" xfId="22" applyNumberFormat="1" applyFont="1" applyFill="1" applyBorder="1" applyAlignment="1" applyProtection="1">
      <alignment horizontal="center" vertical="center"/>
    </xf>
    <xf numFmtId="4" fontId="25" fillId="0" borderId="23" xfId="22" applyNumberFormat="1" applyFont="1" applyFill="1" applyBorder="1" applyAlignment="1" applyProtection="1">
      <alignment vertical="center" wrapText="1"/>
    </xf>
    <xf numFmtId="4" fontId="25" fillId="0" borderId="23" xfId="22" applyNumberFormat="1" applyFont="1" applyFill="1" applyBorder="1" applyAlignment="1" applyProtection="1">
      <alignment horizontal="center" vertical="center"/>
    </xf>
    <xf numFmtId="4" fontId="25" fillId="0" borderId="23" xfId="22" applyNumberFormat="1" applyFont="1" applyFill="1" applyBorder="1" applyAlignment="1" applyProtection="1">
      <alignment vertical="center"/>
      <protection locked="0"/>
    </xf>
    <xf numFmtId="176" fontId="24" fillId="2" borderId="21" xfId="22" applyNumberFormat="1" applyFont="1" applyFill="1" applyBorder="1" applyAlignment="1" applyProtection="1">
      <alignment vertical="center"/>
    </xf>
    <xf numFmtId="4" fontId="25" fillId="2" borderId="14" xfId="22" applyNumberFormat="1" applyFont="1" applyFill="1" applyBorder="1" applyAlignment="1" applyProtection="1">
      <alignment horizontal="center" vertical="center"/>
    </xf>
    <xf numFmtId="0" fontId="23" fillId="0" borderId="9" xfId="23" applyFont="1" applyFill="1" applyBorder="1" applyAlignment="1" applyProtection="1">
      <alignment vertical="center" wrapText="1"/>
    </xf>
    <xf numFmtId="176" fontId="25" fillId="2" borderId="21" xfId="22" applyNumberFormat="1" applyFont="1" applyFill="1" applyBorder="1" applyAlignment="1" applyProtection="1">
      <alignment vertical="center"/>
    </xf>
    <xf numFmtId="176" fontId="24" fillId="2" borderId="22" xfId="22" applyNumberFormat="1" applyFont="1" applyFill="1" applyBorder="1" applyAlignment="1" applyProtection="1">
      <alignment vertical="center"/>
    </xf>
    <xf numFmtId="165" fontId="23" fillId="0" borderId="23" xfId="5" applyFont="1" applyFill="1" applyBorder="1" applyAlignment="1" applyProtection="1">
      <alignment horizontal="center" vertical="center"/>
    </xf>
    <xf numFmtId="176" fontId="23" fillId="0" borderId="24" xfId="6" applyNumberFormat="1" applyFont="1" applyFill="1" applyBorder="1" applyAlignment="1" applyProtection="1">
      <alignment horizontal="right" vertical="center"/>
    </xf>
    <xf numFmtId="176" fontId="22" fillId="2" borderId="20" xfId="8" applyNumberFormat="1" applyFont="1" applyFill="1" applyBorder="1" applyAlignment="1" applyProtection="1">
      <alignment vertical="center"/>
    </xf>
    <xf numFmtId="165" fontId="23" fillId="0" borderId="9" xfId="5" applyFont="1" applyFill="1" applyBorder="1" applyAlignment="1" applyProtection="1">
      <alignment horizontal="center" vertical="center"/>
    </xf>
    <xf numFmtId="176" fontId="23" fillId="0" borderId="19" xfId="6" applyNumberFormat="1" applyFont="1" applyFill="1" applyBorder="1" applyAlignment="1" applyProtection="1">
      <alignment horizontal="right" vertical="center"/>
    </xf>
    <xf numFmtId="176" fontId="22" fillId="2" borderId="21" xfId="8" applyNumberFormat="1" applyFont="1" applyFill="1" applyBorder="1" applyAlignment="1" applyProtection="1">
      <alignment vertical="center"/>
    </xf>
    <xf numFmtId="165" fontId="23" fillId="0" borderId="9" xfId="24" applyNumberFormat="1" applyFont="1" applyFill="1" applyBorder="1" applyAlignment="1" applyProtection="1">
      <alignment vertical="center"/>
      <protection locked="0"/>
    </xf>
    <xf numFmtId="0" fontId="23" fillId="0" borderId="21" xfId="6" applyFont="1" applyBorder="1" applyAlignment="1" applyProtection="1">
      <alignment vertical="center"/>
    </xf>
    <xf numFmtId="176" fontId="22" fillId="2" borderId="21" xfId="6" applyNumberFormat="1" applyFont="1" applyFill="1" applyBorder="1" applyAlignment="1" applyProtection="1">
      <alignment vertical="center"/>
    </xf>
    <xf numFmtId="176" fontId="22" fillId="2" borderId="22" xfId="6" applyNumberFormat="1" applyFont="1" applyFill="1" applyBorder="1" applyAlignment="1" applyProtection="1">
      <alignment vertical="center"/>
    </xf>
    <xf numFmtId="165" fontId="23" fillId="0" borderId="23" xfId="5" applyFont="1" applyFill="1" applyBorder="1" applyAlignment="1" applyProtection="1">
      <alignment horizontal="right" vertical="center" wrapText="1"/>
      <protection locked="0"/>
    </xf>
    <xf numFmtId="165" fontId="23" fillId="0" borderId="9" xfId="5" applyFont="1" applyFill="1" applyBorder="1" applyAlignment="1" applyProtection="1">
      <alignment horizontal="right" vertical="center" wrapText="1"/>
      <protection locked="0"/>
    </xf>
    <xf numFmtId="4" fontId="23" fillId="0" borderId="9" xfId="6" applyNumberFormat="1" applyFont="1" applyFill="1" applyBorder="1" applyAlignment="1" applyProtection="1">
      <alignment horizontal="right" vertical="center"/>
      <protection locked="0"/>
    </xf>
    <xf numFmtId="4" fontId="23" fillId="0" borderId="9" xfId="23" applyNumberFormat="1" applyFont="1" applyFill="1" applyBorder="1" applyAlignment="1" applyProtection="1">
      <alignment horizontal="right" vertical="center" wrapText="1"/>
      <protection locked="0"/>
    </xf>
    <xf numFmtId="2" fontId="23" fillId="0" borderId="36" xfId="6" applyNumberFormat="1" applyFont="1" applyFill="1" applyBorder="1" applyAlignment="1" applyProtection="1">
      <alignment horizontal="center" vertical="center"/>
    </xf>
    <xf numFmtId="39" fontId="23" fillId="2" borderId="23" xfId="6" applyNumberFormat="1" applyFont="1" applyFill="1" applyBorder="1" applyAlignment="1" applyProtection="1">
      <alignment horizontal="center" vertical="center"/>
    </xf>
    <xf numFmtId="4" fontId="23" fillId="0" borderId="23" xfId="7" applyNumberFormat="1" applyFont="1" applyFill="1" applyBorder="1" applyAlignment="1" applyProtection="1">
      <alignment vertical="center"/>
      <protection locked="0"/>
    </xf>
    <xf numFmtId="167" fontId="23" fillId="0" borderId="24" xfId="1" applyNumberFormat="1" applyFont="1" applyFill="1" applyBorder="1" applyAlignment="1" applyProtection="1">
      <alignment vertical="center" wrapText="1"/>
    </xf>
    <xf numFmtId="0" fontId="23" fillId="2" borderId="21" xfId="3" applyFont="1" applyFill="1" applyBorder="1" applyAlignment="1" applyProtection="1">
      <alignment vertical="center"/>
    </xf>
    <xf numFmtId="2" fontId="23" fillId="0" borderId="14" xfId="6" applyNumberFormat="1" applyFont="1" applyFill="1" applyBorder="1" applyAlignment="1" applyProtection="1">
      <alignment horizontal="center" vertical="center"/>
    </xf>
    <xf numFmtId="167" fontId="26" fillId="0" borderId="22" xfId="9" applyNumberFormat="1" applyFont="1" applyBorder="1" applyAlignment="1" applyProtection="1">
      <alignment vertical="center"/>
    </xf>
    <xf numFmtId="178" fontId="22" fillId="10" borderId="11" xfId="0" applyNumberFormat="1" applyFont="1" applyFill="1" applyBorder="1" applyAlignment="1">
      <alignment horizontal="center" vertical="center"/>
    </xf>
    <xf numFmtId="0" fontId="22" fillId="10" borderId="12" xfId="0" applyFont="1" applyFill="1" applyBorder="1" applyAlignment="1">
      <alignment horizontal="left" vertical="center"/>
    </xf>
    <xf numFmtId="0" fontId="22" fillId="10" borderId="12" xfId="0" applyFont="1" applyFill="1" applyBorder="1" applyAlignment="1">
      <alignment horizontal="center" vertical="center"/>
    </xf>
    <xf numFmtId="0" fontId="22" fillId="11" borderId="7" xfId="23" applyFont="1" applyFill="1" applyBorder="1" applyAlignment="1" applyProtection="1">
      <alignment vertical="center" wrapText="1"/>
    </xf>
    <xf numFmtId="0" fontId="22" fillId="11" borderId="8" xfId="23" applyFont="1" applyFill="1" applyBorder="1" applyAlignment="1" applyProtection="1">
      <alignment vertical="center" wrapText="1"/>
    </xf>
    <xf numFmtId="0" fontId="22" fillId="11" borderId="8" xfId="23" applyFont="1" applyFill="1" applyBorder="1" applyAlignment="1" applyProtection="1">
      <alignment vertical="center" wrapText="1"/>
      <protection locked="0"/>
    </xf>
    <xf numFmtId="0" fontId="22" fillId="11" borderId="18" xfId="23" applyFont="1" applyFill="1" applyBorder="1" applyAlignment="1" applyProtection="1">
      <alignment vertical="center" wrapText="1"/>
    </xf>
    <xf numFmtId="165" fontId="23" fillId="0" borderId="23" xfId="5" applyFont="1" applyFill="1" applyBorder="1" applyAlignment="1" applyProtection="1">
      <alignment horizontal="right" vertical="center" wrapText="1"/>
    </xf>
    <xf numFmtId="165" fontId="23" fillId="0" borderId="9" xfId="5" applyFont="1" applyFill="1" applyBorder="1" applyAlignment="1" applyProtection="1">
      <alignment horizontal="right" vertical="center" wrapText="1"/>
    </xf>
    <xf numFmtId="2" fontId="23" fillId="0" borderId="9" xfId="6" applyNumberFormat="1" applyFont="1" applyFill="1" applyBorder="1" applyAlignment="1" applyProtection="1">
      <alignment vertical="center"/>
    </xf>
    <xf numFmtId="2" fontId="23" fillId="0" borderId="9" xfId="6" applyNumberFormat="1" applyFont="1" applyFill="1" applyBorder="1" applyAlignment="1" applyProtection="1">
      <alignment horizontal="right" vertical="center"/>
    </xf>
    <xf numFmtId="4" fontId="21" fillId="0" borderId="9" xfId="6" applyNumberFormat="1" applyFont="1" applyFill="1" applyBorder="1" applyAlignment="1" applyProtection="1">
      <alignment horizontal="right" vertical="center"/>
      <protection locked="0"/>
    </xf>
    <xf numFmtId="0" fontId="23" fillId="0" borderId="9" xfId="6" applyFont="1" applyFill="1" applyBorder="1" applyAlignment="1" applyProtection="1">
      <alignment vertical="center"/>
    </xf>
    <xf numFmtId="0" fontId="23" fillId="0" borderId="9" xfId="6" applyFont="1" applyFill="1" applyBorder="1" applyAlignment="1" applyProtection="1">
      <alignment horizontal="center" vertical="center"/>
    </xf>
    <xf numFmtId="39" fontId="23" fillId="0" borderId="9" xfId="6" applyNumberFormat="1" applyFont="1" applyFill="1" applyBorder="1" applyAlignment="1" applyProtection="1">
      <alignment vertical="center"/>
      <protection locked="0"/>
    </xf>
    <xf numFmtId="4" fontId="23" fillId="0" borderId="9" xfId="5" applyNumberFormat="1" applyFont="1" applyFill="1" applyBorder="1" applyAlignment="1" applyProtection="1">
      <alignment vertical="center" wrapText="1"/>
    </xf>
    <xf numFmtId="49" fontId="23" fillId="0" borderId="9" xfId="23" applyNumberFormat="1" applyFont="1" applyFill="1" applyBorder="1" applyAlignment="1" applyProtection="1">
      <alignment horizontal="justify" vertical="center" wrapText="1"/>
    </xf>
    <xf numFmtId="2" fontId="23" fillId="0" borderId="9" xfId="5" applyNumberFormat="1" applyFont="1" applyFill="1" applyBorder="1" applyAlignment="1" applyProtection="1">
      <alignment vertical="center" wrapText="1"/>
    </xf>
    <xf numFmtId="4" fontId="25" fillId="0" borderId="9" xfId="5" applyNumberFormat="1" applyFont="1" applyFill="1" applyBorder="1" applyAlignment="1" applyProtection="1">
      <alignment vertical="center" wrapText="1"/>
      <protection locked="0"/>
    </xf>
    <xf numFmtId="2" fontId="23" fillId="0" borderId="9" xfId="6" applyNumberFormat="1" applyFont="1" applyFill="1" applyBorder="1" applyAlignment="1" applyProtection="1">
      <alignment horizontal="right" vertical="center"/>
      <protection locked="0"/>
    </xf>
    <xf numFmtId="0" fontId="23" fillId="2" borderId="9" xfId="6" applyFont="1" applyFill="1" applyBorder="1" applyAlignment="1" applyProtection="1">
      <alignment vertical="center" wrapText="1"/>
    </xf>
    <xf numFmtId="0" fontId="23" fillId="2" borderId="9" xfId="6" applyFont="1" applyFill="1" applyBorder="1" applyAlignment="1" applyProtection="1">
      <alignment vertical="center"/>
    </xf>
    <xf numFmtId="0" fontId="23" fillId="2" borderId="9" xfId="6" applyFont="1" applyFill="1" applyBorder="1" applyAlignment="1" applyProtection="1">
      <alignment horizontal="center" vertical="center"/>
    </xf>
    <xf numFmtId="176" fontId="23" fillId="2" borderId="19" xfId="5" applyNumberFormat="1" applyFont="1" applyFill="1" applyBorder="1" applyAlignment="1" applyProtection="1">
      <alignment vertical="center" wrapText="1"/>
    </xf>
    <xf numFmtId="176" fontId="24" fillId="0" borderId="21" xfId="4" applyNumberFormat="1" applyFont="1" applyFill="1" applyBorder="1" applyAlignment="1" applyProtection="1">
      <alignment vertical="center"/>
    </xf>
    <xf numFmtId="2" fontId="22" fillId="11" borderId="7" xfId="6" applyNumberFormat="1" applyFont="1" applyFill="1" applyBorder="1" applyAlignment="1" applyProtection="1">
      <alignment horizontal="center" vertical="center"/>
    </xf>
    <xf numFmtId="0" fontId="22" fillId="11" borderId="8" xfId="6" applyFont="1" applyFill="1" applyBorder="1" applyAlignment="1" applyProtection="1">
      <alignment vertical="center" wrapText="1"/>
    </xf>
    <xf numFmtId="0" fontId="22" fillId="11" borderId="8" xfId="6" applyFont="1" applyFill="1" applyBorder="1" applyAlignment="1" applyProtection="1">
      <alignment vertical="center" wrapText="1"/>
      <protection locked="0"/>
    </xf>
    <xf numFmtId="176" fontId="24" fillId="11" borderId="18" xfId="4" applyNumberFormat="1" applyFont="1" applyFill="1" applyBorder="1" applyAlignment="1" applyProtection="1">
      <alignment vertical="center"/>
    </xf>
    <xf numFmtId="2" fontId="22" fillId="0" borderId="1" xfId="6" applyNumberFormat="1" applyFont="1" applyFill="1" applyBorder="1" applyAlignment="1" applyProtection="1">
      <alignment horizontal="center" vertical="center"/>
    </xf>
    <xf numFmtId="0" fontId="22" fillId="0" borderId="0" xfId="6" applyFont="1" applyFill="1" applyBorder="1" applyAlignment="1" applyProtection="1">
      <alignment vertical="center" wrapText="1"/>
    </xf>
    <xf numFmtId="0" fontId="22" fillId="0" borderId="0" xfId="6" applyFont="1" applyFill="1" applyBorder="1" applyAlignment="1" applyProtection="1">
      <alignment vertical="center" wrapText="1"/>
      <protection locked="0"/>
    </xf>
    <xf numFmtId="176" fontId="25" fillId="2" borderId="20" xfId="4" applyNumberFormat="1" applyFont="1" applyFill="1" applyBorder="1" applyAlignment="1" applyProtection="1">
      <alignment vertical="center"/>
    </xf>
    <xf numFmtId="4" fontId="25" fillId="2" borderId="23" xfId="4" applyNumberFormat="1" applyFont="1" applyFill="1" applyBorder="1" applyAlignment="1" applyProtection="1">
      <alignment vertical="center" wrapText="1"/>
    </xf>
    <xf numFmtId="4" fontId="25" fillId="2" borderId="23" xfId="4" applyNumberFormat="1" applyFont="1" applyFill="1" applyBorder="1" applyAlignment="1" applyProtection="1">
      <alignment vertical="center"/>
    </xf>
    <xf numFmtId="4" fontId="25" fillId="2" borderId="23" xfId="4" applyNumberFormat="1" applyFont="1" applyFill="1" applyBorder="1" applyAlignment="1" applyProtection="1">
      <alignment horizontal="center" vertical="center"/>
    </xf>
    <xf numFmtId="176" fontId="25" fillId="2" borderId="23" xfId="4" applyNumberFormat="1" applyFont="1" applyFill="1" applyBorder="1" applyAlignment="1" applyProtection="1">
      <alignment vertical="center"/>
    </xf>
    <xf numFmtId="176" fontId="25" fillId="2" borderId="37" xfId="4" applyNumberFormat="1" applyFont="1" applyFill="1" applyBorder="1" applyAlignment="1" applyProtection="1">
      <alignment vertical="center"/>
    </xf>
    <xf numFmtId="4" fontId="25" fillId="2" borderId="9" xfId="4" applyNumberFormat="1" applyFont="1" applyFill="1" applyBorder="1" applyAlignment="1" applyProtection="1">
      <alignment vertical="center" wrapText="1"/>
    </xf>
    <xf numFmtId="4" fontId="25" fillId="2" borderId="9" xfId="4" applyNumberFormat="1" applyFont="1" applyFill="1" applyBorder="1" applyAlignment="1" applyProtection="1">
      <alignment vertical="center"/>
    </xf>
    <xf numFmtId="4" fontId="25" fillId="2" borderId="9" xfId="4" applyNumberFormat="1" applyFont="1" applyFill="1" applyBorder="1" applyAlignment="1" applyProtection="1">
      <alignment horizontal="center" vertical="center"/>
    </xf>
    <xf numFmtId="176" fontId="25" fillId="2" borderId="9" xfId="4" applyNumberFormat="1" applyFont="1" applyFill="1" applyBorder="1" applyAlignment="1" applyProtection="1">
      <alignment vertical="center"/>
    </xf>
    <xf numFmtId="176" fontId="25" fillId="2" borderId="15" xfId="4" applyNumberFormat="1" applyFont="1" applyFill="1" applyBorder="1" applyAlignment="1" applyProtection="1">
      <alignment vertical="center"/>
    </xf>
    <xf numFmtId="176" fontId="22" fillId="11" borderId="18" xfId="4" applyNumberFormat="1" applyFont="1" applyFill="1" applyBorder="1" applyAlignment="1" applyProtection="1">
      <alignment vertical="center"/>
    </xf>
    <xf numFmtId="166" fontId="22" fillId="0" borderId="16" xfId="4" applyNumberFormat="1" applyFont="1" applyFill="1" applyBorder="1" applyAlignment="1" applyProtection="1">
      <alignment horizontal="right" vertical="center"/>
    </xf>
    <xf numFmtId="166" fontId="22" fillId="0" borderId="17" xfId="4" applyNumberFormat="1" applyFont="1" applyFill="1" applyBorder="1" applyAlignment="1" applyProtection="1">
      <alignment horizontal="right" vertical="center"/>
    </xf>
    <xf numFmtId="176" fontId="22" fillId="0" borderId="6" xfId="4" applyNumberFormat="1" applyFont="1" applyFill="1" applyBorder="1" applyAlignment="1" applyProtection="1">
      <alignment vertical="center"/>
    </xf>
    <xf numFmtId="167" fontId="26" fillId="7" borderId="27" xfId="9" applyNumberFormat="1" applyFont="1" applyFill="1" applyBorder="1" applyAlignment="1" applyProtection="1">
      <alignment vertical="center"/>
    </xf>
    <xf numFmtId="0" fontId="21" fillId="0" borderId="28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/>
    </xf>
    <xf numFmtId="0" fontId="21" fillId="0" borderId="28" xfId="0" applyFont="1" applyBorder="1" applyAlignment="1">
      <alignment vertical="center" wrapText="1"/>
    </xf>
    <xf numFmtId="0" fontId="21" fillId="0" borderId="28" xfId="0" applyFont="1" applyBorder="1" applyAlignment="1">
      <alignment vertical="center"/>
    </xf>
    <xf numFmtId="0" fontId="21" fillId="0" borderId="32" xfId="0" applyFont="1" applyBorder="1" applyAlignment="1">
      <alignment vertical="center"/>
    </xf>
    <xf numFmtId="0" fontId="26" fillId="0" borderId="28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right" vertical="center"/>
    </xf>
    <xf numFmtId="0" fontId="20" fillId="2" borderId="11" xfId="6" applyFont="1" applyFill="1" applyBorder="1" applyAlignment="1" applyProtection="1">
      <alignment vertical="top"/>
    </xf>
    <xf numFmtId="0" fontId="20" fillId="2" borderId="12" xfId="6" applyFont="1" applyFill="1" applyBorder="1" applyAlignment="1" applyProtection="1">
      <alignment horizontal="left" vertical="top" wrapText="1"/>
    </xf>
    <xf numFmtId="0" fontId="20" fillId="2" borderId="12" xfId="6" applyFont="1" applyFill="1" applyBorder="1" applyAlignment="1" applyProtection="1">
      <alignment horizontal="right"/>
    </xf>
    <xf numFmtId="0" fontId="20" fillId="2" borderId="12" xfId="6" applyFont="1" applyFill="1" applyBorder="1" applyAlignment="1" applyProtection="1">
      <alignment horizontal="center"/>
    </xf>
    <xf numFmtId="165" fontId="20" fillId="2" borderId="12" xfId="5" applyFont="1" applyFill="1" applyBorder="1" applyAlignment="1" applyProtection="1">
      <alignment horizontal="right"/>
    </xf>
    <xf numFmtId="176" fontId="20" fillId="2" borderId="12" xfId="6" applyNumberFormat="1" applyFont="1" applyFill="1" applyBorder="1" applyAlignment="1" applyProtection="1"/>
    <xf numFmtId="176" fontId="20" fillId="2" borderId="13" xfId="6" applyNumberFormat="1" applyFont="1" applyFill="1" applyBorder="1" applyAlignment="1" applyProtection="1"/>
    <xf numFmtId="0" fontId="20" fillId="2" borderId="1" xfId="6" applyFont="1" applyFill="1" applyBorder="1" applyAlignment="1" applyProtection="1">
      <alignment vertical="top"/>
    </xf>
    <xf numFmtId="0" fontId="20" fillId="2" borderId="0" xfId="6" applyFont="1" applyFill="1" applyBorder="1" applyAlignment="1" applyProtection="1">
      <alignment horizontal="left" vertical="top" wrapText="1"/>
    </xf>
    <xf numFmtId="0" fontId="20" fillId="2" borderId="0" xfId="6" applyFont="1" applyFill="1" applyBorder="1" applyAlignment="1" applyProtection="1">
      <alignment horizontal="right"/>
    </xf>
    <xf numFmtId="0" fontId="20" fillId="2" borderId="0" xfId="6" applyFont="1" applyFill="1" applyBorder="1" applyAlignment="1" applyProtection="1">
      <alignment horizontal="center"/>
    </xf>
    <xf numFmtId="165" fontId="20" fillId="2" borderId="0" xfId="5" applyFont="1" applyFill="1" applyBorder="1" applyAlignment="1" applyProtection="1">
      <alignment horizontal="right"/>
    </xf>
    <xf numFmtId="176" fontId="20" fillId="2" borderId="0" xfId="6" applyNumberFormat="1" applyFont="1" applyFill="1" applyBorder="1" applyAlignment="1" applyProtection="1"/>
    <xf numFmtId="176" fontId="20" fillId="2" borderId="2" xfId="6" applyNumberFormat="1" applyFont="1" applyFill="1" applyBorder="1" applyAlignment="1" applyProtection="1"/>
    <xf numFmtId="0" fontId="21" fillId="0" borderId="1" xfId="0" applyFont="1" applyBorder="1"/>
    <xf numFmtId="0" fontId="21" fillId="0" borderId="0" xfId="0" applyFont="1" applyBorder="1" applyAlignment="1">
      <alignment vertical="center"/>
    </xf>
    <xf numFmtId="0" fontId="22" fillId="9" borderId="1" xfId="7" applyFont="1" applyFill="1" applyBorder="1" applyAlignment="1">
      <alignment horizontal="right" vertical="top"/>
    </xf>
    <xf numFmtId="0" fontId="22" fillId="9" borderId="0" xfId="7" applyFont="1" applyFill="1" applyBorder="1" applyAlignment="1">
      <alignment horizontal="right" vertical="top"/>
    </xf>
    <xf numFmtId="0" fontId="23" fillId="9" borderId="12" xfId="7" applyFont="1" applyFill="1" applyBorder="1" applyAlignment="1">
      <alignment horizontal="left" vertical="center" wrapText="1"/>
    </xf>
    <xf numFmtId="0" fontId="23" fillId="9" borderId="13" xfId="7" applyFont="1" applyFill="1" applyBorder="1" applyAlignment="1">
      <alignment horizontal="left" vertical="center" wrapText="1"/>
    </xf>
    <xf numFmtId="0" fontId="22" fillId="9" borderId="1" xfId="7" applyFont="1" applyFill="1" applyBorder="1" applyAlignment="1">
      <alignment horizontal="right" vertical="center"/>
    </xf>
    <xf numFmtId="0" fontId="22" fillId="9" borderId="0" xfId="7" applyFont="1" applyFill="1" applyBorder="1" applyAlignment="1">
      <alignment horizontal="right" vertical="center"/>
    </xf>
    <xf numFmtId="0" fontId="23" fillId="9" borderId="12" xfId="7" applyFont="1" applyFill="1" applyBorder="1" applyAlignment="1">
      <alignment horizontal="left" vertical="center"/>
    </xf>
    <xf numFmtId="0" fontId="23" fillId="9" borderId="13" xfId="7" applyFont="1" applyFill="1" applyBorder="1" applyAlignment="1">
      <alignment horizontal="left" vertical="center"/>
    </xf>
    <xf numFmtId="0" fontId="23" fillId="9" borderId="8" xfId="7" applyFont="1" applyFill="1" applyBorder="1" applyAlignment="1">
      <alignment horizontal="left" vertical="center"/>
    </xf>
    <xf numFmtId="0" fontId="23" fillId="9" borderId="18" xfId="7" applyFont="1" applyFill="1" applyBorder="1" applyAlignment="1">
      <alignment horizontal="left" vertical="center"/>
    </xf>
    <xf numFmtId="0" fontId="27" fillId="9" borderId="1" xfId="7" applyFont="1" applyFill="1" applyBorder="1" applyAlignment="1">
      <alignment horizontal="center" vertical="center"/>
    </xf>
    <xf numFmtId="0" fontId="27" fillId="9" borderId="0" xfId="7" applyFont="1" applyFill="1" applyBorder="1" applyAlignment="1">
      <alignment horizontal="center" vertical="center"/>
    </xf>
    <xf numFmtId="0" fontId="27" fillId="9" borderId="2" xfId="7" applyFont="1" applyFill="1" applyBorder="1" applyAlignment="1">
      <alignment horizontal="center" vertical="center"/>
    </xf>
    <xf numFmtId="0" fontId="23" fillId="9" borderId="0" xfId="7" applyFont="1" applyFill="1" applyBorder="1" applyAlignment="1">
      <alignment horizontal="left" vertical="center" wrapText="1"/>
    </xf>
    <xf numFmtId="0" fontId="23" fillId="9" borderId="2" xfId="7" applyFont="1" applyFill="1" applyBorder="1" applyAlignment="1">
      <alignment horizontal="left" vertical="center" wrapText="1"/>
    </xf>
    <xf numFmtId="0" fontId="23" fillId="9" borderId="17" xfId="7" applyFont="1" applyFill="1" applyBorder="1" applyAlignment="1">
      <alignment horizontal="left" vertical="center" wrapText="1"/>
    </xf>
    <xf numFmtId="0" fontId="23" fillId="9" borderId="6" xfId="7" applyFont="1" applyFill="1" applyBorder="1" applyAlignment="1">
      <alignment horizontal="left" vertical="center" wrapText="1"/>
    </xf>
    <xf numFmtId="0" fontId="21" fillId="0" borderId="3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14" fontId="23" fillId="9" borderId="17" xfId="7" applyNumberFormat="1" applyFont="1" applyFill="1" applyBorder="1" applyAlignment="1">
      <alignment horizontal="left" vertical="center"/>
    </xf>
    <xf numFmtId="4" fontId="22" fillId="11" borderId="7" xfId="4" quotePrefix="1" applyNumberFormat="1" applyFont="1" applyFill="1" applyBorder="1" applyAlignment="1" applyProtection="1">
      <alignment horizontal="right" vertical="center"/>
    </xf>
    <xf numFmtId="4" fontId="22" fillId="11" borderId="8" xfId="4" quotePrefix="1" applyNumberFormat="1" applyFont="1" applyFill="1" applyBorder="1" applyAlignment="1" applyProtection="1">
      <alignment horizontal="right" vertical="center"/>
    </xf>
    <xf numFmtId="166" fontId="22" fillId="11" borderId="7" xfId="4" applyNumberFormat="1" applyFont="1" applyFill="1" applyBorder="1" applyAlignment="1" applyProtection="1">
      <alignment horizontal="right" vertical="center"/>
    </xf>
    <xf numFmtId="166" fontId="22" fillId="11" borderId="8" xfId="4" applyNumberFormat="1" applyFont="1" applyFill="1" applyBorder="1" applyAlignment="1" applyProtection="1">
      <alignment horizontal="right" vertical="center"/>
    </xf>
    <xf numFmtId="0" fontId="21" fillId="0" borderId="29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/>
    </xf>
    <xf numFmtId="4" fontId="22" fillId="7" borderId="25" xfId="4" quotePrefix="1" applyNumberFormat="1" applyFont="1" applyFill="1" applyBorder="1" applyAlignment="1" applyProtection="1">
      <alignment horizontal="right" vertical="center"/>
    </xf>
    <xf numFmtId="4" fontId="22" fillId="7" borderId="26" xfId="4" quotePrefix="1" applyNumberFormat="1" applyFont="1" applyFill="1" applyBorder="1" applyAlignment="1" applyProtection="1">
      <alignment horizontal="right" vertical="center"/>
    </xf>
    <xf numFmtId="4" fontId="7" fillId="0" borderId="3" xfId="16" applyNumberFormat="1" applyFont="1" applyBorder="1" applyAlignment="1">
      <alignment horizontal="left" vertical="top" wrapText="1"/>
    </xf>
    <xf numFmtId="166" fontId="7" fillId="3" borderId="5" xfId="16" applyNumberFormat="1" applyFont="1" applyFill="1" applyBorder="1" applyAlignment="1">
      <alignment horizontal="center" vertical="top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</cellXfs>
  <cellStyles count="25">
    <cellStyle name="Comma 2" xfId="20"/>
    <cellStyle name="Comma 2 2 2" xfId="11"/>
    <cellStyle name="Millares 10 2" xfId="5"/>
    <cellStyle name="Millares 13" xfId="10"/>
    <cellStyle name="Millares 25" xfId="12"/>
    <cellStyle name="Millares 3 2 2" xfId="8"/>
    <cellStyle name="Moneda" xfId="1" builtinId="4"/>
    <cellStyle name="Moneda 7 2" xfId="24"/>
    <cellStyle name="Normal" xfId="0" builtinId="0"/>
    <cellStyle name="Normal 10 2" xfId="2"/>
    <cellStyle name="Normal 2" xfId="17"/>
    <cellStyle name="Normal 2 2 2" xfId="7"/>
    <cellStyle name="Normal 3" xfId="9"/>
    <cellStyle name="Normal 3 10" xfId="4"/>
    <cellStyle name="Normal 3 3" xfId="14"/>
    <cellStyle name="Normal 3 3 2" xfId="22"/>
    <cellStyle name="Normal 3 4" xfId="15"/>
    <cellStyle name="Normal 3_PRESUPTO CALLES DEL MUNIC. DE GUERRA" xfId="6"/>
    <cellStyle name="Normal 34" xfId="16"/>
    <cellStyle name="Normal 37" xfId="18"/>
    <cellStyle name="Normal 39" xfId="23"/>
    <cellStyle name="Normal 4" xfId="19"/>
    <cellStyle name="Normal_CUBICACION 1ERA Y FINAL CALLE LAS CARRERAS 2DA. ETAPA." xfId="3"/>
    <cellStyle name="Porcentaje" xfId="21" builtinId="5"/>
    <cellStyle name="Porcentual 2 2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277091</xdr:colOff>
      <xdr:row>0</xdr:row>
      <xdr:rowOff>205731</xdr:rowOff>
    </xdr:from>
    <xdr:to>
      <xdr:col>6</xdr:col>
      <xdr:colOff>1558635</xdr:colOff>
      <xdr:row>8</xdr:row>
      <xdr:rowOff>242454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091" y="205731"/>
          <a:ext cx="11481953" cy="2097587"/>
        </a:xfrm>
        <a:prstGeom prst="rect">
          <a:avLst/>
        </a:prstGeom>
      </xdr:spPr>
    </xdr:pic>
    <xdr:clientData/>
  </xdr:twoCellAnchor>
  <xdr:twoCellAnchor>
    <xdr:from>
      <xdr:col>1</xdr:col>
      <xdr:colOff>173182</xdr:colOff>
      <xdr:row>389</xdr:row>
      <xdr:rowOff>173182</xdr:rowOff>
    </xdr:from>
    <xdr:to>
      <xdr:col>1</xdr:col>
      <xdr:colOff>4078133</xdr:colOff>
      <xdr:row>389</xdr:row>
      <xdr:rowOff>173183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xmlns="" id="{266C86DD-7C3E-4C6B-898A-8E82EAA7737D}"/>
            </a:ext>
          </a:extLst>
        </xdr:cNvPr>
        <xdr:cNvCxnSpPr/>
      </xdr:nvCxnSpPr>
      <xdr:spPr>
        <a:xfrm>
          <a:off x="1143000" y="117105546"/>
          <a:ext cx="3904951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3326787</xdr:colOff>
      <xdr:row>397</xdr:row>
      <xdr:rowOff>191163</xdr:rowOff>
    </xdr:from>
    <xdr:to>
      <xdr:col>5</xdr:col>
      <xdr:colOff>354852</xdr:colOff>
      <xdr:row>397</xdr:row>
      <xdr:rowOff>191164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xmlns="" id="{53E731E7-C8B1-4166-8481-48398E941252}"/>
            </a:ext>
          </a:extLst>
        </xdr:cNvPr>
        <xdr:cNvCxnSpPr/>
      </xdr:nvCxnSpPr>
      <xdr:spPr>
        <a:xfrm>
          <a:off x="4296605" y="119063163"/>
          <a:ext cx="4630747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-especi\Obras%20Sector%20Salud%20(H-S)%202000\NORTE\Santiago\Cub.%20Policlinica%20en%20el%20Sector%20La%20Joya,%20palom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Eva%20L.%20JImenez%20Pagan\My%20Documents\Banco%20Central\Martin%20Fernandez%20-%20Calles\Presup.%20dise&#241;o%20original%20(30-mar-0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"/>
      <sheetName val="1000"/>
      <sheetName val="Estado Financiero"/>
      <sheetName val="Resumen"/>
      <sheetName val="Cubicación"/>
      <sheetName val="Pagos"/>
      <sheetName val="Res-Financiero"/>
      <sheetName val="A"/>
      <sheetName val="Senalizacion"/>
      <sheetName val="Precios"/>
      <sheetName val="LISTADO MATERIALES"/>
      <sheetName val="Sheet4"/>
      <sheetName val="Sheet5"/>
      <sheetName val="Insumos"/>
      <sheetName val="Análisis de Precios"/>
      <sheetName val="caseta de planta"/>
      <sheetName val="Estado_Financiero"/>
      <sheetName val="Estado_Financiero1"/>
      <sheetName val="LISTADO_MATERIALES"/>
      <sheetName val="Análisis_de_Precios"/>
      <sheetName val="caseta_de_planta"/>
      <sheetName val="Estado_Financiero2"/>
      <sheetName val="LISTADO_MATERIALES1"/>
      <sheetName val="Análisis_de_Precios1"/>
      <sheetName val="caseta_de_planta1"/>
      <sheetName val="Estado_Financiero3"/>
      <sheetName val="LISTADO_MATERIALES2"/>
      <sheetName val="Análisis_de_Precios2"/>
      <sheetName val="caseta_de_planta2"/>
      <sheetName val="Estado_Financiero4"/>
      <sheetName val="LISTADO_MATERIALES3"/>
      <sheetName val="Análisis_de_Precios3"/>
      <sheetName val="caseta_de_planta3"/>
      <sheetName val="Estado_Financiero5"/>
      <sheetName val="LISTADO_MATERIALES4"/>
      <sheetName val="Análisis_de_Precios4"/>
      <sheetName val="caseta_de_planta4"/>
      <sheetName val="Estado_Financiero6"/>
      <sheetName val="LISTADO_MATERIALES5"/>
      <sheetName val="Análisis_de_Precios5"/>
      <sheetName val="caseta_de_planta5"/>
      <sheetName val="Presupuesto"/>
      <sheetName val="Mano de Obra"/>
      <sheetName val="Subcontratos"/>
      <sheetName val="Analisis "/>
      <sheetName val="Analisis H.A. "/>
      <sheetName val="Mezcla"/>
      <sheetName val="Insumos sanitarios"/>
      <sheetName val="Mano de Obra Sanitaria"/>
      <sheetName val="Analisis Sanitarios"/>
      <sheetName val="insumos ELECT"/>
      <sheetName val="mano de obra ELECT"/>
      <sheetName val="anal.elect."/>
      <sheetName val="tarifa equipo"/>
      <sheetName val="ANAMOVT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STO DGO"/>
      <sheetName val="PRES. BOCA NUEVA"/>
      <sheetName val="CONTRARO SEÑALIZACIONES"/>
      <sheetName val="Senalizacion"/>
      <sheetName val="A"/>
      <sheetName val="ANALISIS_STO_DGO"/>
      <sheetName val="PRES__BOCA_NUEVA"/>
      <sheetName val="CONTRARO_SEÑALIZACIONES"/>
      <sheetName val="ANALISIS_STO_DGO1"/>
      <sheetName val="PRES__BOCA_NUEVA1"/>
      <sheetName val="CONTRARO_SEÑALIZACIONES1"/>
      <sheetName val="Presup"/>
      <sheetName val="EDIFICIO COUNTERS"/>
      <sheetName val="LISTADO INSUMOS DEL 2000"/>
      <sheetName val="Presup."/>
      <sheetName val="ANALISIS_STO_DGO2"/>
      <sheetName val="PRES__BOCA_NUEVA2"/>
      <sheetName val="CONTRARO_SEÑALIZACIONES2"/>
      <sheetName val="EDIFICIO_COUNTERS"/>
      <sheetName val="LISTADO_INSUMOS_DEL_2000"/>
      <sheetName val="Presup_"/>
      <sheetName val="ANALISIS_STO_DGO3"/>
      <sheetName val="PRES__BOCA_NUEVA3"/>
      <sheetName val="CONTRARO_SEÑALIZACIONES3"/>
      <sheetName val="EDIFICIO_COUNTERS1"/>
      <sheetName val="LISTADO_INSUMOS_DEL_20001"/>
      <sheetName val="Presup_1"/>
      <sheetName val="PRESUP. HOSPIT. VERON"/>
      <sheetName val="Insumos"/>
      <sheetName val="Análisis de Precios"/>
      <sheetName val="Resumen Precio Equipos"/>
      <sheetName val="O.M. y Salarios"/>
      <sheetName val="Materiales"/>
      <sheetName val="Resumen"/>
      <sheetName val="Planilla &lt;ENM#5&gt;"/>
      <sheetName val="Resumen Reducciones"/>
      <sheetName val="Planilla..."/>
      <sheetName val="Planilla"/>
      <sheetName val="Amortización"/>
      <sheetName val="Estudios y Diseños"/>
      <sheetName val="&lt;T-0&gt;Sop.Estudios.y.Diseños"/>
      <sheetName val="Otros Indirectos"/>
      <sheetName val="(1)-Trab.Gen"/>
      <sheetName val="1.01"/>
      <sheetName val="1.02"/>
      <sheetName val="1.03"/>
      <sheetName val="1.04"/>
      <sheetName val="1.05"/>
      <sheetName val="(2)-Mov.Tierra"/>
      <sheetName val="2.01"/>
      <sheetName val="2.02"/>
      <sheetName val="2.03"/>
      <sheetName val="&lt;T-1&gt;Sop.Alambradas"/>
      <sheetName val="100.01"/>
      <sheetName val="2.06"/>
      <sheetName val="2.07"/>
      <sheetName val="2.09"/>
      <sheetName val="&lt;T-3&gt;Sop.Exc.Inservible.&amp;.NClas"/>
      <sheetName val="2.10"/>
      <sheetName val="2.11"/>
      <sheetName val="2.12@2.14-116.03"/>
      <sheetName val="Rutas.Acarreo"/>
      <sheetName val="2.15"/>
      <sheetName val="2.16"/>
      <sheetName val="2.17"/>
      <sheetName val="2.18"/>
      <sheetName val="&lt;T-4&gt;Sop.Relleno-(Previo)"/>
      <sheetName val="&lt;T-4&gt;Sop.Relleno-(Acumulado)"/>
      <sheetName val="ajustes de reporte relleno"/>
      <sheetName val="&lt;T-4&gt;Sop.Relleno-(Periodo)"/>
      <sheetName val="&lt;T-5&gt;Sop.Pedraplén"/>
      <sheetName val="2.19"/>
      <sheetName val="2.22"/>
      <sheetName val="PN-2.04"/>
      <sheetName val="&lt;T-7&gt;Sop.Perfilado&amp;Grama"/>
      <sheetName val="2.24"/>
      <sheetName val="2.36"/>
      <sheetName val="Mejoramiento Fundación"/>
      <sheetName val="116.01"/>
      <sheetName val="116.02"/>
      <sheetName val="&lt;T-14&gt;Estabilización.Cal"/>
      <sheetName val="&lt;T-15&gt;Estabilización.Cemento"/>
      <sheetName val="PN-2.06"/>
      <sheetName val="Interferencias-Tuberías"/>
      <sheetName val="128.01"/>
      <sheetName val="&lt;Presup&gt;Tubería.Yuca"/>
      <sheetName val="139.01"/>
      <sheetName val="&lt;Presup&gt;Tub.Haras.Nacionales"/>
      <sheetName val="184.01"/>
      <sheetName val="&lt;Presup&gt;Tubería.Mata.Gorda"/>
      <sheetName val="184.02"/>
      <sheetName val="&lt;Presup&gt;Tubería.El.Aguacate"/>
      <sheetName val="184.03"/>
      <sheetName val="&lt;Presup&gt;Tubería.La.Victoria"/>
      <sheetName val="139.02"/>
      <sheetName val="&lt;Presup&gt;Tubería.Juan.Tomás"/>
      <sheetName val="161.01"/>
      <sheetName val="&lt;Presup&gt;Tubería.Mal.Nombre"/>
      <sheetName val="PN-2.01"/>
      <sheetName val="&lt;Presup&gt;Tubería.Varios.Trabajos"/>
      <sheetName val="(3)-Drenaje"/>
      <sheetName val="Cunetas"/>
      <sheetName val="3.1.02"/>
      <sheetName val="3.1.03"/>
      <sheetName val="150.01"/>
      <sheetName val="150.02"/>
      <sheetName val="162.01"/>
      <sheetName val="Drenaje Subterraneo"/>
      <sheetName val="3.3.01"/>
      <sheetName val="3.3.02"/>
      <sheetName val="Alc.Cajón"/>
      <sheetName val="100.02"/>
      <sheetName val="3.4.1.01"/>
      <sheetName val="3.4.1.02"/>
      <sheetName val="3.4.1.03"/>
      <sheetName val="3.4.1.04"/>
      <sheetName val="3.4.1.05"/>
      <sheetName val="3.4.1.06"/>
      <sheetName val="3.4.1.07"/>
      <sheetName val="3.4.1.08"/>
      <sheetName val="3.4.1.09"/>
      <sheetName val="3.4.1.10"/>
      <sheetName val="3.4.1.11"/>
      <sheetName val="3.4.1.12"/>
      <sheetName val="101.01"/>
      <sheetName val="3.4.1.16"/>
      <sheetName val="3.4.1.17"/>
      <sheetName val="Alc.Tubular"/>
      <sheetName val="3.4.2.01"/>
      <sheetName val="3.4.2.03"/>
      <sheetName val="3.4.2.04"/>
      <sheetName val="3.4.2.06"/>
      <sheetName val="3.4.2.07"/>
      <sheetName val="3.4.2.08"/>
      <sheetName val="3.4.2.09"/>
      <sheetName val="3.4.2.10"/>
      <sheetName val="3.4.2.11"/>
      <sheetName val="3.4.2.12"/>
      <sheetName val="&lt;T-6&gt;Sop.Exc.Rell.Estr.Alcant."/>
      <sheetName val="Colectores"/>
      <sheetName val="119.01"/>
      <sheetName val="119.02"/>
      <sheetName val="119.03"/>
      <sheetName val="119.04"/>
      <sheetName val="119.05"/>
      <sheetName val="119.06"/>
      <sheetName val="119.07"/>
      <sheetName val="119.08"/>
      <sheetName val="119.09"/>
      <sheetName val="129.01"/>
      <sheetName val="&lt;T-8&gt;Sop.Acero.Alcantarillas"/>
      <sheetName val="(4)-Estructuras"/>
      <sheetName val="(Puente)-Mal Nombre"/>
      <sheetName val="4.1.1.01"/>
      <sheetName val="4.1.1.04"/>
      <sheetName val="4.1.1.06"/>
      <sheetName val="4.1.1.08"/>
      <sheetName val="104.01"/>
      <sheetName val="104.02"/>
      <sheetName val="4.1.1.9"/>
      <sheetName val="4.1.1.10"/>
      <sheetName val="4.1.1.11"/>
      <sheetName val="4.1.1.12"/>
      <sheetName val="4.1.1.14"/>
      <sheetName val="4.1.1.15"/>
      <sheetName val="4.1.1.16"/>
      <sheetName val="4.1.1.18"/>
      <sheetName val="4.1.1.21"/>
      <sheetName val="130.01"/>
      <sheetName val="4.1.1.22"/>
      <sheetName val="4.1.1.25"/>
      <sheetName val="4.1.1.26"/>
      <sheetName val="120.01"/>
      <sheetName val="104.03"/>
      <sheetName val="4.1.4.04"/>
      <sheetName val="102.01"/>
      <sheetName val="102.02"/>
      <sheetName val="102.03"/>
      <sheetName val="102.04"/>
      <sheetName val="102.05"/>
      <sheetName val="4.1.4.06"/>
      <sheetName val="4.1.4.08"/>
      <sheetName val="4.1.4.09"/>
      <sheetName val="4.1.4.11"/>
      <sheetName val="4.1.4.18"/>
      <sheetName val="(Puente)-Dajao"/>
      <sheetName val="4.1.4.25"/>
      <sheetName val="106.02"/>
      <sheetName val="113.01"/>
      <sheetName val="113.02"/>
      <sheetName val="113.03"/>
      <sheetName val="106.01"/>
      <sheetName val="121.01"/>
      <sheetName val="121.02"/>
      <sheetName val="131.01"/>
      <sheetName val="131.02"/>
      <sheetName val="140.01"/>
      <sheetName val="140.02"/>
      <sheetName val="145.01"/>
      <sheetName val="145.02"/>
      <sheetName val="145.03"/>
      <sheetName val="145.04"/>
      <sheetName val="145.05"/>
      <sheetName val="163.01"/>
      <sheetName val="(Puente)-Haras Nacionales"/>
      <sheetName val="PN-4.2.2.02"/>
      <sheetName val="151.01"/>
      <sheetName val="4.2.2.02"/>
      <sheetName val="4.2.2.03"/>
      <sheetName val="4.2.2.04"/>
      <sheetName val="4.2.2.10"/>
      <sheetName val="151.02"/>
      <sheetName val="4.2.2.11"/>
      <sheetName val="4.2.2.12"/>
      <sheetName val="4.2.2.13"/>
      <sheetName val="103.01"/>
      <sheetName val="103.02"/>
      <sheetName val="103.03"/>
      <sheetName val="103.04"/>
      <sheetName val="105.01"/>
      <sheetName val="105.02"/>
      <sheetName val="105.03"/>
      <sheetName val="4.2.2.15 "/>
      <sheetName val="4.2.2.16"/>
      <sheetName val="4.2.2.17"/>
      <sheetName val="108.01"/>
      <sheetName val="108.02"/>
      <sheetName val="108.03"/>
      <sheetName val="111.01"/>
      <sheetName val="111.02"/>
      <sheetName val="111.03"/>
      <sheetName val="111.04"/>
      <sheetName val="114.01"/>
      <sheetName val="122.01"/>
      <sheetName val="141.01"/>
      <sheetName val="141.02"/>
      <sheetName val="141.03"/>
      <sheetName val="132.01"/>
      <sheetName val="132.02"/>
      <sheetName val="zapata bordillo-haras"/>
      <sheetName val="(Puente)-Yuca"/>
      <sheetName val="4.1.3.04"/>
      <sheetName val="4.1.3.06"/>
      <sheetName val="4.1.3.07"/>
      <sheetName val="4.1.3.08"/>
      <sheetName val="4.1.3.09"/>
      <sheetName val="112.01"/>
      <sheetName val="112.02"/>
      <sheetName val="112.03"/>
      <sheetName val="112.04"/>
      <sheetName val="112.05"/>
      <sheetName val="112.06"/>
      <sheetName val="112.07"/>
      <sheetName val="4.1.3.01"/>
      <sheetName val="4.1.3.18"/>
      <sheetName val="4.1.3.25"/>
      <sheetName val="123.01"/>
      <sheetName val="123.02"/>
      <sheetName val="123.03"/>
      <sheetName val="133.01"/>
      <sheetName val="142.01"/>
      <sheetName val="142.02"/>
      <sheetName val="146.01"/>
      <sheetName val="146.02"/>
      <sheetName val="146.03"/>
      <sheetName val="146.04"/>
      <sheetName val="152.01"/>
      <sheetName val="152.02"/>
      <sheetName val="164.01"/>
      <sheetName val="zapata.bordillo.losa.Yuca"/>
      <sheetName val="172.01"/>
      <sheetName val="172.02"/>
      <sheetName val="172.03"/>
      <sheetName val="PN-4.1.3.01"/>
      <sheetName val="PN-4.1.3.02"/>
      <sheetName val="PN-4.1.3.03"/>
      <sheetName val="PN-4.1.3.04"/>
      <sheetName val="(Puente)-Cabón"/>
      <sheetName val="4.1.2.06"/>
      <sheetName val="4.1.2.07"/>
      <sheetName val="4.1.2.11"/>
      <sheetName val="4.1.2.18"/>
      <sheetName val="4.1.2.20"/>
      <sheetName val="4.1.2.08"/>
      <sheetName val="4.1.2.25"/>
      <sheetName val="134.01"/>
      <sheetName val="134.02"/>
      <sheetName val="134.03"/>
      <sheetName val="143.01"/>
      <sheetName val="147.01"/>
      <sheetName val="153.01"/>
      <sheetName val="165.01"/>
      <sheetName val="165.02"/>
      <sheetName val="165.03"/>
      <sheetName val="173.01"/>
      <sheetName val="173.02"/>
      <sheetName val="PN-4.1.2.01"/>
      <sheetName val="PN-4.1.2.03"/>
      <sheetName val="PN-4.1.2.04"/>
      <sheetName val="PN-4.1.2.05"/>
      <sheetName val="153.02"/>
      <sheetName val="153.03"/>
      <sheetName val="(Puente)-Tossa"/>
      <sheetName val="4.1.5.04"/>
      <sheetName val="4.1.5.06"/>
      <sheetName val="4.1.5.07"/>
      <sheetName val="4.1.5.08"/>
      <sheetName val="4.1.5.09"/>
      <sheetName val="4.1.5.11"/>
      <sheetName val="154.01"/>
      <sheetName val="154.02"/>
      <sheetName val="135.01"/>
      <sheetName val="135.02"/>
      <sheetName val="135.03"/>
      <sheetName val="135.04"/>
      <sheetName val="135.05"/>
      <sheetName val="166.01"/>
      <sheetName val="174.01"/>
      <sheetName val="174.02"/>
      <sheetName val="174.03"/>
      <sheetName val="PN-4.1.5.03"/>
      <sheetName val="PN-4.1.5.05"/>
      <sheetName val="PN-4.1.5.06"/>
      <sheetName val="PN-4.1.5.07"/>
      <sheetName val="PN-4.1.5.08"/>
      <sheetName val="PN-4.1.5.09"/>
      <sheetName val="PN-4.1.5.11"/>
      <sheetName val="PN-4.1.5.12"/>
      <sheetName val="174.04"/>
      <sheetName val="174.05"/>
      <sheetName val="174.06"/>
      <sheetName val="174.07"/>
      <sheetName val="PN-4.1.5.13"/>
      <sheetName val="(Puente)-Ozama"/>
      <sheetName val="4.1.6.02"/>
      <sheetName val="4.1.6.05"/>
      <sheetName val="4.1.6.07"/>
      <sheetName val="4.1.6.09"/>
      <sheetName val="4.1.6.10"/>
      <sheetName val="&lt;P.U.&gt;Estructura.Puente"/>
      <sheetName val="4.1.6.13"/>
      <sheetName val="4.1.6.17"/>
      <sheetName val="175.01"/>
      <sheetName val="175.02"/>
      <sheetName val="175.03"/>
      <sheetName val="175.04"/>
      <sheetName val="PN-4.1.6.03"/>
      <sheetName val="175.05"/>
      <sheetName val="144.01"/>
      <sheetName val="144.02"/>
      <sheetName val="144.03"/>
      <sheetName val="155.01"/>
      <sheetName val="155.02"/>
      <sheetName val="155.03"/>
      <sheetName val="PN-4.1.6.06"/>
      <sheetName val="PN-4.1.6.09@PN-4.1.6.11"/>
      <sheetName val="PN-4.1.6.14"/>
      <sheetName val="(Puente)-Juan Tomas"/>
      <sheetName val="156.01"/>
      <sheetName val="156.02"/>
      <sheetName val="167.01"/>
      <sheetName val="176.01"/>
      <sheetName val="176.02"/>
      <sheetName val="176.03"/>
      <sheetName val="176.04"/>
      <sheetName val="176.05"/>
      <sheetName val="176.06"/>
      <sheetName val="176.07"/>
      <sheetName val="176.08"/>
      <sheetName val="176.09"/>
      <sheetName val="176.10"/>
      <sheetName val="176.11"/>
      <sheetName val="176.12"/>
      <sheetName val="PN-4.1.7.04"/>
      <sheetName val="PN-4.1.7.05"/>
      <sheetName val="PN-4.1.7.06"/>
      <sheetName val="PN-4.1.7.09"/>
      <sheetName val="PN-4.1.7.10"/>
      <sheetName val="PN-4.1.7.11"/>
      <sheetName val="PN-4.1.7.12"/>
      <sheetName val="PN-4.1.7.14"/>
      <sheetName val="PN-4.1.7.20"/>
      <sheetName val="PN-4.1.7.29"/>
      <sheetName val="(Distribuidor)-Punta-Yamasá"/>
      <sheetName val="4.2.1.05"/>
      <sheetName val="4.2.1.17"/>
      <sheetName val="4.2.1.10 "/>
      <sheetName val="4.2.1.11"/>
      <sheetName val="4.2.1.13"/>
      <sheetName val="115.01"/>
      <sheetName val="115.02"/>
      <sheetName val="115.03"/>
      <sheetName val="115.04"/>
      <sheetName val="115.05"/>
      <sheetName val="115.06"/>
      <sheetName val="115.07"/>
      <sheetName val="115.08"/>
      <sheetName val="124.01"/>
      <sheetName val="124.02"/>
      <sheetName val="124.03"/>
      <sheetName val="124.04"/>
      <sheetName val="124.05"/>
      <sheetName val="148.01"/>
      <sheetName val="148.02"/>
      <sheetName val="157.01"/>
      <sheetName val="157.02"/>
      <sheetName val="PN-4.2.1.03"/>
      <sheetName val="PN-4.2.1.05"/>
      <sheetName val="PN-4.2.1.08"/>
      <sheetName val="4.2.1.16"/>
      <sheetName val="4.2.1.21"/>
      <sheetName val="4.2.1.29"/>
      <sheetName val="4.2.1.30"/>
      <sheetName val="registros punta"/>
      <sheetName val="(Distribuidor)-La Victoria"/>
      <sheetName val="4.2.4.10"/>
      <sheetName val="4.2.4.04"/>
      <sheetName val="4.2.4.11"/>
      <sheetName val="4.2.4.15"/>
      <sheetName val="4.2.4.16"/>
      <sheetName val="4.2.4.13"/>
      <sheetName val="125.01"/>
      <sheetName val="125.02"/>
      <sheetName val="177.01"/>
      <sheetName val="177.02"/>
      <sheetName val="177.03"/>
      <sheetName val="177.04"/>
      <sheetName val="177.05"/>
      <sheetName val="177.06"/>
      <sheetName val="177.07"/>
      <sheetName val="158.01"/>
      <sheetName val="158.02"/>
      <sheetName val="158.03"/>
      <sheetName val="158.04"/>
      <sheetName val="158.05"/>
      <sheetName val="(Distribuidor)-Carre.Samaná"/>
      <sheetName val="4.2.5.01"/>
      <sheetName val="4.2.5.03"/>
      <sheetName val="4.2.5.11"/>
      <sheetName val="4.2.5.12"/>
      <sheetName val="4.2.5.13"/>
      <sheetName val="4.2.5.14"/>
      <sheetName val="178.01"/>
      <sheetName val="178.02"/>
      <sheetName val="178.03"/>
      <sheetName val="178.04"/>
      <sheetName val="178.05"/>
      <sheetName val="PN-4.2.5.04"/>
      <sheetName val="PN-4.2.5.08"/>
      <sheetName val="PN-4.2.5.12"/>
      <sheetName val="PN-4.2.5.15"/>
      <sheetName val="(Paso Inferior)-La Victoria"/>
      <sheetName val="4.3.2.10"/>
      <sheetName val="4.3.2.11"/>
      <sheetName val="4.3.2.12"/>
      <sheetName val="4.3.2.14"/>
      <sheetName val="4.3.2.15"/>
      <sheetName val="4.3.2.18"/>
      <sheetName val="4.3.2.21"/>
      <sheetName val="4.3.2.22"/>
      <sheetName val="(Paso Inferior)-Mata Mamón"/>
      <sheetName val="4.3.3.10"/>
      <sheetName val="4.3.3.11"/>
      <sheetName val="4.3.3.12"/>
      <sheetName val="4.3.3.14"/>
      <sheetName val="4.3.3.18"/>
      <sheetName val="4.3.3.21"/>
      <sheetName val="4.3.3.22"/>
      <sheetName val="(Paso Inferior)-Yabacao"/>
      <sheetName val="136.01"/>
      <sheetName val="136.02"/>
      <sheetName val="136.03"/>
      <sheetName val="136.04"/>
      <sheetName val="149.01"/>
      <sheetName val="136.05"/>
      <sheetName val="(Puente)-Provisional Ozama "/>
      <sheetName val="117.01"/>
      <sheetName val="117.02"/>
      <sheetName val="117.03"/>
      <sheetName val="117.04"/>
      <sheetName val="(Paso Inferior) El Aguacate"/>
      <sheetName val="(Paso Inferior)-Los Rojas"/>
      <sheetName val="159.01"/>
      <sheetName val="159.02"/>
      <sheetName val="159.03"/>
      <sheetName val="159.04"/>
      <sheetName val="168.01"/>
      <sheetName val="168.02"/>
      <sheetName val="168.03"/>
      <sheetName val="179.01"/>
      <sheetName val="PN-4.3.6.06"/>
      <sheetName val="(Paso Inferior)-El Aguacate"/>
      <sheetName val="169.01"/>
      <sheetName val="169.02"/>
      <sheetName val="Aguacate-.01"/>
      <sheetName val="169.03"/>
      <sheetName val="169.04"/>
      <sheetName val="180.01"/>
      <sheetName val="170.01"/>
      <sheetName val="170.02"/>
      <sheetName val="PN-4.3.5.03"/>
      <sheetName val="PN-4.3.5.04"/>
      <sheetName val="PN-4.3.5.05"/>
      <sheetName val="(Paso Inferior)-Mal Nombre"/>
      <sheetName val="170.03"/>
      <sheetName val="170.04"/>
      <sheetName val="181.01"/>
      <sheetName val="181.02"/>
      <sheetName val="117.05"/>
      <sheetName val="117.06"/>
      <sheetName val="126.01"/>
      <sheetName val="126.02"/>
      <sheetName val="137.01"/>
      <sheetName val="&lt;T-12&gt;Sop.Pedrap.Puente.Prov."/>
      <sheetName val="PN-4.3.1.03"/>
      <sheetName val="PN-4.3.1.05"/>
      <sheetName val="PN-4.3.1.07"/>
      <sheetName val="&lt;T-9&gt;Sop.Pilotes"/>
      <sheetName val="&lt;T-10&gt;Sop.Acero.Puentes"/>
      <sheetName val="Misceláneos-Estr."/>
      <sheetName val="182.01"/>
      <sheetName val="&lt;P.U.&gt;Acero.Refuerzo"/>
      <sheetName val="&lt;P.U.&gt;Pretensado.Cable.Acero"/>
      <sheetName val="Wick.Drains-Geopier"/>
      <sheetName val="109.01"/>
      <sheetName val="118.01"/>
      <sheetName val="118.02"/>
      <sheetName val="127.01"/>
      <sheetName val="171.01@171.03"/>
      <sheetName val="127.02"/>
      <sheetName val="127.03"/>
      <sheetName val="138.01"/>
      <sheetName val="&lt;T-13&gt;Drenes.Verticales"/>
      <sheetName val="&lt;T-16&gt;Pre-Perforación.Drenes"/>
      <sheetName val="&lt;T-17&gt;Columna.de.Grava"/>
      <sheetName val="&lt;T-18&gt;Columna.Grava.Terravanza"/>
      <sheetName val="Peaje"/>
      <sheetName val="4.4.02"/>
      <sheetName val="PN-4.4.01"/>
      <sheetName val="PN-4.4.02"/>
      <sheetName val="(5)-Estructura.de.Pavimento"/>
      <sheetName val="5.01"/>
      <sheetName val="5.02"/>
      <sheetName val="5.03@5.06"/>
      <sheetName val="5.07@5.10"/>
      <sheetName val="5.11"/>
      <sheetName val="5.12"/>
      <sheetName val="5.13"/>
      <sheetName val="5.14"/>
      <sheetName val="5.15"/>
      <sheetName val="&lt;T-2&gt;Acopio.Base.Planta.Indio"/>
      <sheetName val="&lt;P.U.&gt;Base.Estabilizada"/>
      <sheetName val="5.16@5.19"/>
      <sheetName val="160.01"/>
      <sheetName val="160.02"/>
      <sheetName val="183.01"/>
      <sheetName val="183.02"/>
      <sheetName val="PN-5.01"/>
      <sheetName val="PN-5.03"/>
      <sheetName val="PN-5.04"/>
      <sheetName val="PN-5.05"/>
      <sheetName val="&lt;T-19&gt;Sop.SubBase"/>
      <sheetName val="&lt;T-20&gt;Sop.Base"/>
      <sheetName val="&lt;T-21&gt;Sop.Asfalto"/>
      <sheetName val="(6)-Terminaciones"/>
      <sheetName val="6.2.01"/>
      <sheetName val="6.3.01"/>
      <sheetName val="6.3.02"/>
      <sheetName val="6.3.03"/>
      <sheetName val="6.3.04"/>
      <sheetName val="6.3.05"/>
      <sheetName val="6.3.19"/>
      <sheetName val="6.3.20"/>
      <sheetName val="6.3.21"/>
      <sheetName val="6.1.01 Contenes"/>
      <sheetName val="6.1.02 Bordillos"/>
      <sheetName val="6.1.03 Aceras Hormigon "/>
      <sheetName val="6.1.04Relleno Acera"/>
      <sheetName val="Paisajismo"/>
      <sheetName val="Iluminacion Vial"/>
      <sheetName val="(7)-Electrificación e ilum."/>
      <sheetName val="7.01"/>
      <sheetName val="7.02"/>
      <sheetName val="(Reembolsables)-Militares"/>
      <sheetName val="107.01"/>
      <sheetName val="185.01"/>
      <sheetName val="&lt;T-11&gt;Sop.Militares"/>
      <sheetName val="(Reembolsables)-Interf.Electric"/>
      <sheetName val="186.01"/>
      <sheetName val="Pres. Interferencia Electrica"/>
      <sheetName val="(110)-Puente.Provisional"/>
      <sheetName val="110.01"/>
      <sheetName val="x1-relleno prueba"/>
      <sheetName val="&lt;x1&gt;Relleno.Prueba.Avenida"/>
      <sheetName val="&lt;Estatus Proyecto&gt;"/>
      <sheetName val="TC-C27"/>
      <sheetName val="EX-V28"/>
      <sheetName val="RV-C13"/>
      <sheetName val="RV-C28"/>
      <sheetName val="EXC. QMC"/>
      <sheetName val="RV-H27"/>
      <sheetName val="EX-C36"/>
      <sheetName val="CF-C12"/>
      <sheetName val="EX-C37"/>
      <sheetName val="EX-C20"/>
      <sheetName val="EX-C24"/>
      <sheetName val="TRACT.MINA"/>
      <sheetName val="EX-C38"/>
      <sheetName val="EX-C27"/>
      <sheetName val="EX-C42"/>
      <sheetName val="% Ralenti CF-C12."/>
      <sheetName val="% Ralenti EXC."/>
      <sheetName val="% Ralenti EXC. (2)"/>
      <sheetName val="REND."/>
      <sheetName val="Produccion"/>
      <sheetName val="trac"/>
      <sheetName val="T. HORA"/>
      <sheetName val="Base de Dato"/>
      <sheetName val="Precio"/>
      <sheetName val="Análisis_de_Precios"/>
      <sheetName val="Resumen_Precio_Equipos"/>
      <sheetName val="O_M__y_Salarios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61"/>
  <sheetViews>
    <sheetView tabSelected="1" view="pageBreakPreview" zoomScale="55" zoomScaleNormal="55" zoomScaleSheetLayoutView="55" workbookViewId="0">
      <selection activeCell="D392" sqref="D392:G392"/>
    </sheetView>
  </sheetViews>
  <sheetFormatPr baseColWidth="10" defaultRowHeight="18"/>
  <cols>
    <col min="1" max="1" width="14.42578125" style="3" customWidth="1"/>
    <col min="2" max="2" width="66.28515625" style="91" customWidth="1"/>
    <col min="3" max="3" width="15.42578125" style="92" customWidth="1"/>
    <col min="4" max="4" width="11.5703125" style="2" customWidth="1"/>
    <col min="5" max="5" width="20.85546875" style="93" bestFit="1" customWidth="1"/>
    <col min="6" max="6" width="24.42578125" style="85" customWidth="1"/>
    <col min="7" max="7" width="30.85546875" style="85" customWidth="1"/>
    <col min="8" max="8" width="20.85546875" style="81" bestFit="1" customWidth="1"/>
    <col min="9" max="9" width="12" style="81" bestFit="1" customWidth="1"/>
    <col min="10" max="12" width="11.42578125" style="81"/>
    <col min="13" max="13" width="49.5703125" style="81" customWidth="1"/>
    <col min="14" max="247" width="11.42578125" style="81"/>
    <col min="248" max="248" width="14.42578125" style="81" customWidth="1"/>
    <col min="249" max="249" width="91.5703125" style="81" customWidth="1"/>
    <col min="250" max="250" width="17.85546875" style="81" bestFit="1" customWidth="1"/>
    <col min="251" max="251" width="16.85546875" style="81" customWidth="1"/>
    <col min="252" max="252" width="19.85546875" style="81" bestFit="1" customWidth="1"/>
    <col min="253" max="253" width="25.42578125" style="81" bestFit="1" customWidth="1"/>
    <col min="254" max="254" width="30.28515625" style="81" bestFit="1" customWidth="1"/>
    <col min="255" max="255" width="16.5703125" style="81" bestFit="1" customWidth="1"/>
    <col min="256" max="256" width="17.42578125" style="81" customWidth="1"/>
    <col min="257" max="257" width="20.140625" style="81" customWidth="1"/>
    <col min="258" max="258" width="23.5703125" style="81" customWidth="1"/>
    <col min="259" max="259" width="16.7109375" style="81" customWidth="1"/>
    <col min="260" max="261" width="11.42578125" style="81" customWidth="1"/>
    <col min="262" max="262" width="13.5703125" style="81" customWidth="1"/>
    <col min="263" max="503" width="11.42578125" style="81"/>
    <col min="504" max="504" width="14.42578125" style="81" customWidth="1"/>
    <col min="505" max="505" width="91.5703125" style="81" customWidth="1"/>
    <col min="506" max="506" width="17.85546875" style="81" bestFit="1" customWidth="1"/>
    <col min="507" max="507" width="16.85546875" style="81" customWidth="1"/>
    <col min="508" max="508" width="19.85546875" style="81" bestFit="1" customWidth="1"/>
    <col min="509" max="509" width="25.42578125" style="81" bestFit="1" customWidth="1"/>
    <col min="510" max="510" width="30.28515625" style="81" bestFit="1" customWidth="1"/>
    <col min="511" max="511" width="16.5703125" style="81" bestFit="1" customWidth="1"/>
    <col min="512" max="512" width="17.42578125" style="81" customWidth="1"/>
    <col min="513" max="513" width="20.140625" style="81" customWidth="1"/>
    <col min="514" max="514" width="23.5703125" style="81" customWidth="1"/>
    <col min="515" max="515" width="16.7109375" style="81" customWidth="1"/>
    <col min="516" max="517" width="11.42578125" style="81" customWidth="1"/>
    <col min="518" max="518" width="13.5703125" style="81" customWidth="1"/>
    <col min="519" max="759" width="11.42578125" style="81"/>
    <col min="760" max="760" width="14.42578125" style="81" customWidth="1"/>
    <col min="761" max="761" width="91.5703125" style="81" customWidth="1"/>
    <col min="762" max="762" width="17.85546875" style="81" bestFit="1" customWidth="1"/>
    <col min="763" max="763" width="16.85546875" style="81" customWidth="1"/>
    <col min="764" max="764" width="19.85546875" style="81" bestFit="1" customWidth="1"/>
    <col min="765" max="765" width="25.42578125" style="81" bestFit="1" customWidth="1"/>
    <col min="766" max="766" width="30.28515625" style="81" bestFit="1" customWidth="1"/>
    <col min="767" max="767" width="16.5703125" style="81" bestFit="1" customWidth="1"/>
    <col min="768" max="768" width="17.42578125" style="81" customWidth="1"/>
    <col min="769" max="769" width="20.140625" style="81" customWidth="1"/>
    <col min="770" max="770" width="23.5703125" style="81" customWidth="1"/>
    <col min="771" max="771" width="16.7109375" style="81" customWidth="1"/>
    <col min="772" max="773" width="11.42578125" style="81" customWidth="1"/>
    <col min="774" max="774" width="13.5703125" style="81" customWidth="1"/>
    <col min="775" max="1015" width="11.42578125" style="81"/>
    <col min="1016" max="1016" width="14.42578125" style="81" customWidth="1"/>
    <col min="1017" max="1017" width="91.5703125" style="81" customWidth="1"/>
    <col min="1018" max="1018" width="17.85546875" style="81" bestFit="1" customWidth="1"/>
    <col min="1019" max="1019" width="16.85546875" style="81" customWidth="1"/>
    <col min="1020" max="1020" width="19.85546875" style="81" bestFit="1" customWidth="1"/>
    <col min="1021" max="1021" width="25.42578125" style="81" bestFit="1" customWidth="1"/>
    <col min="1022" max="1022" width="30.28515625" style="81" bestFit="1" customWidth="1"/>
    <col min="1023" max="1023" width="16.5703125" style="81" bestFit="1" customWidth="1"/>
    <col min="1024" max="1024" width="17.42578125" style="81" customWidth="1"/>
    <col min="1025" max="1025" width="20.140625" style="81" customWidth="1"/>
    <col min="1026" max="1026" width="23.5703125" style="81" customWidth="1"/>
    <col min="1027" max="1027" width="16.7109375" style="81" customWidth="1"/>
    <col min="1028" max="1029" width="11.42578125" style="81" customWidth="1"/>
    <col min="1030" max="1030" width="13.5703125" style="81" customWidth="1"/>
    <col min="1031" max="1271" width="11.42578125" style="81"/>
    <col min="1272" max="1272" width="14.42578125" style="81" customWidth="1"/>
    <col min="1273" max="1273" width="91.5703125" style="81" customWidth="1"/>
    <col min="1274" max="1274" width="17.85546875" style="81" bestFit="1" customWidth="1"/>
    <col min="1275" max="1275" width="16.85546875" style="81" customWidth="1"/>
    <col min="1276" max="1276" width="19.85546875" style="81" bestFit="1" customWidth="1"/>
    <col min="1277" max="1277" width="25.42578125" style="81" bestFit="1" customWidth="1"/>
    <col min="1278" max="1278" width="30.28515625" style="81" bestFit="1" customWidth="1"/>
    <col min="1279" max="1279" width="16.5703125" style="81" bestFit="1" customWidth="1"/>
    <col min="1280" max="1280" width="17.42578125" style="81" customWidth="1"/>
    <col min="1281" max="1281" width="20.140625" style="81" customWidth="1"/>
    <col min="1282" max="1282" width="23.5703125" style="81" customWidth="1"/>
    <col min="1283" max="1283" width="16.7109375" style="81" customWidth="1"/>
    <col min="1284" max="1285" width="11.42578125" style="81" customWidth="1"/>
    <col min="1286" max="1286" width="13.5703125" style="81" customWidth="1"/>
    <col min="1287" max="1527" width="11.42578125" style="81"/>
    <col min="1528" max="1528" width="14.42578125" style="81" customWidth="1"/>
    <col min="1529" max="1529" width="91.5703125" style="81" customWidth="1"/>
    <col min="1530" max="1530" width="17.85546875" style="81" bestFit="1" customWidth="1"/>
    <col min="1531" max="1531" width="16.85546875" style="81" customWidth="1"/>
    <col min="1532" max="1532" width="19.85546875" style="81" bestFit="1" customWidth="1"/>
    <col min="1533" max="1533" width="25.42578125" style="81" bestFit="1" customWidth="1"/>
    <col min="1534" max="1534" width="30.28515625" style="81" bestFit="1" customWidth="1"/>
    <col min="1535" max="1535" width="16.5703125" style="81" bestFit="1" customWidth="1"/>
    <col min="1536" max="1536" width="17.42578125" style="81" customWidth="1"/>
    <col min="1537" max="1537" width="20.140625" style="81" customWidth="1"/>
    <col min="1538" max="1538" width="23.5703125" style="81" customWidth="1"/>
    <col min="1539" max="1539" width="16.7109375" style="81" customWidth="1"/>
    <col min="1540" max="1541" width="11.42578125" style="81" customWidth="1"/>
    <col min="1542" max="1542" width="13.5703125" style="81" customWidth="1"/>
    <col min="1543" max="1783" width="11.42578125" style="81"/>
    <col min="1784" max="1784" width="14.42578125" style="81" customWidth="1"/>
    <col min="1785" max="1785" width="91.5703125" style="81" customWidth="1"/>
    <col min="1786" max="1786" width="17.85546875" style="81" bestFit="1" customWidth="1"/>
    <col min="1787" max="1787" width="16.85546875" style="81" customWidth="1"/>
    <col min="1788" max="1788" width="19.85546875" style="81" bestFit="1" customWidth="1"/>
    <col min="1789" max="1789" width="25.42578125" style="81" bestFit="1" customWidth="1"/>
    <col min="1790" max="1790" width="30.28515625" style="81" bestFit="1" customWidth="1"/>
    <col min="1791" max="1791" width="16.5703125" style="81" bestFit="1" customWidth="1"/>
    <col min="1792" max="1792" width="17.42578125" style="81" customWidth="1"/>
    <col min="1793" max="1793" width="20.140625" style="81" customWidth="1"/>
    <col min="1794" max="1794" width="23.5703125" style="81" customWidth="1"/>
    <col min="1795" max="1795" width="16.7109375" style="81" customWidth="1"/>
    <col min="1796" max="1797" width="11.42578125" style="81" customWidth="1"/>
    <col min="1798" max="1798" width="13.5703125" style="81" customWidth="1"/>
    <col min="1799" max="2039" width="11.42578125" style="81"/>
    <col min="2040" max="2040" width="14.42578125" style="81" customWidth="1"/>
    <col min="2041" max="2041" width="91.5703125" style="81" customWidth="1"/>
    <col min="2042" max="2042" width="17.85546875" style="81" bestFit="1" customWidth="1"/>
    <col min="2043" max="2043" width="16.85546875" style="81" customWidth="1"/>
    <col min="2044" max="2044" width="19.85546875" style="81" bestFit="1" customWidth="1"/>
    <col min="2045" max="2045" width="25.42578125" style="81" bestFit="1" customWidth="1"/>
    <col min="2046" max="2046" width="30.28515625" style="81" bestFit="1" customWidth="1"/>
    <col min="2047" max="2047" width="16.5703125" style="81" bestFit="1" customWidth="1"/>
    <col min="2048" max="2048" width="17.42578125" style="81" customWidth="1"/>
    <col min="2049" max="2049" width="20.140625" style="81" customWidth="1"/>
    <col min="2050" max="2050" width="23.5703125" style="81" customWidth="1"/>
    <col min="2051" max="2051" width="16.7109375" style="81" customWidth="1"/>
    <col min="2052" max="2053" width="11.42578125" style="81" customWidth="1"/>
    <col min="2054" max="2054" width="13.5703125" style="81" customWidth="1"/>
    <col min="2055" max="2295" width="11.42578125" style="81"/>
    <col min="2296" max="2296" width="14.42578125" style="81" customWidth="1"/>
    <col min="2297" max="2297" width="91.5703125" style="81" customWidth="1"/>
    <col min="2298" max="2298" width="17.85546875" style="81" bestFit="1" customWidth="1"/>
    <col min="2299" max="2299" width="16.85546875" style="81" customWidth="1"/>
    <col min="2300" max="2300" width="19.85546875" style="81" bestFit="1" customWidth="1"/>
    <col min="2301" max="2301" width="25.42578125" style="81" bestFit="1" customWidth="1"/>
    <col min="2302" max="2302" width="30.28515625" style="81" bestFit="1" customWidth="1"/>
    <col min="2303" max="2303" width="16.5703125" style="81" bestFit="1" customWidth="1"/>
    <col min="2304" max="2304" width="17.42578125" style="81" customWidth="1"/>
    <col min="2305" max="2305" width="20.140625" style="81" customWidth="1"/>
    <col min="2306" max="2306" width="23.5703125" style="81" customWidth="1"/>
    <col min="2307" max="2307" width="16.7109375" style="81" customWidth="1"/>
    <col min="2308" max="2309" width="11.42578125" style="81" customWidth="1"/>
    <col min="2310" max="2310" width="13.5703125" style="81" customWidth="1"/>
    <col min="2311" max="2551" width="11.42578125" style="81"/>
    <col min="2552" max="2552" width="14.42578125" style="81" customWidth="1"/>
    <col min="2553" max="2553" width="91.5703125" style="81" customWidth="1"/>
    <col min="2554" max="2554" width="17.85546875" style="81" bestFit="1" customWidth="1"/>
    <col min="2555" max="2555" width="16.85546875" style="81" customWidth="1"/>
    <col min="2556" max="2556" width="19.85546875" style="81" bestFit="1" customWidth="1"/>
    <col min="2557" max="2557" width="25.42578125" style="81" bestFit="1" customWidth="1"/>
    <col min="2558" max="2558" width="30.28515625" style="81" bestFit="1" customWidth="1"/>
    <col min="2559" max="2559" width="16.5703125" style="81" bestFit="1" customWidth="1"/>
    <col min="2560" max="2560" width="17.42578125" style="81" customWidth="1"/>
    <col min="2561" max="2561" width="20.140625" style="81" customWidth="1"/>
    <col min="2562" max="2562" width="23.5703125" style="81" customWidth="1"/>
    <col min="2563" max="2563" width="16.7109375" style="81" customWidth="1"/>
    <col min="2564" max="2565" width="11.42578125" style="81" customWidth="1"/>
    <col min="2566" max="2566" width="13.5703125" style="81" customWidth="1"/>
    <col min="2567" max="2807" width="11.42578125" style="81"/>
    <col min="2808" max="2808" width="14.42578125" style="81" customWidth="1"/>
    <col min="2809" max="2809" width="91.5703125" style="81" customWidth="1"/>
    <col min="2810" max="2810" width="17.85546875" style="81" bestFit="1" customWidth="1"/>
    <col min="2811" max="2811" width="16.85546875" style="81" customWidth="1"/>
    <col min="2812" max="2812" width="19.85546875" style="81" bestFit="1" customWidth="1"/>
    <col min="2813" max="2813" width="25.42578125" style="81" bestFit="1" customWidth="1"/>
    <col min="2814" max="2814" width="30.28515625" style="81" bestFit="1" customWidth="1"/>
    <col min="2815" max="2815" width="16.5703125" style="81" bestFit="1" customWidth="1"/>
    <col min="2816" max="2816" width="17.42578125" style="81" customWidth="1"/>
    <col min="2817" max="2817" width="20.140625" style="81" customWidth="1"/>
    <col min="2818" max="2818" width="23.5703125" style="81" customWidth="1"/>
    <col min="2819" max="2819" width="16.7109375" style="81" customWidth="1"/>
    <col min="2820" max="2821" width="11.42578125" style="81" customWidth="1"/>
    <col min="2822" max="2822" width="13.5703125" style="81" customWidth="1"/>
    <col min="2823" max="3063" width="11.42578125" style="81"/>
    <col min="3064" max="3064" width="14.42578125" style="81" customWidth="1"/>
    <col min="3065" max="3065" width="91.5703125" style="81" customWidth="1"/>
    <col min="3066" max="3066" width="17.85546875" style="81" bestFit="1" customWidth="1"/>
    <col min="3067" max="3067" width="16.85546875" style="81" customWidth="1"/>
    <col min="3068" max="3068" width="19.85546875" style="81" bestFit="1" customWidth="1"/>
    <col min="3069" max="3069" width="25.42578125" style="81" bestFit="1" customWidth="1"/>
    <col min="3070" max="3070" width="30.28515625" style="81" bestFit="1" customWidth="1"/>
    <col min="3071" max="3071" width="16.5703125" style="81" bestFit="1" customWidth="1"/>
    <col min="3072" max="3072" width="17.42578125" style="81" customWidth="1"/>
    <col min="3073" max="3073" width="20.140625" style="81" customWidth="1"/>
    <col min="3074" max="3074" width="23.5703125" style="81" customWidth="1"/>
    <col min="3075" max="3075" width="16.7109375" style="81" customWidth="1"/>
    <col min="3076" max="3077" width="11.42578125" style="81" customWidth="1"/>
    <col min="3078" max="3078" width="13.5703125" style="81" customWidth="1"/>
    <col min="3079" max="3319" width="11.42578125" style="81"/>
    <col min="3320" max="3320" width="14.42578125" style="81" customWidth="1"/>
    <col min="3321" max="3321" width="91.5703125" style="81" customWidth="1"/>
    <col min="3322" max="3322" width="17.85546875" style="81" bestFit="1" customWidth="1"/>
    <col min="3323" max="3323" width="16.85546875" style="81" customWidth="1"/>
    <col min="3324" max="3324" width="19.85546875" style="81" bestFit="1" customWidth="1"/>
    <col min="3325" max="3325" width="25.42578125" style="81" bestFit="1" customWidth="1"/>
    <col min="3326" max="3326" width="30.28515625" style="81" bestFit="1" customWidth="1"/>
    <col min="3327" max="3327" width="16.5703125" style="81" bestFit="1" customWidth="1"/>
    <col min="3328" max="3328" width="17.42578125" style="81" customWidth="1"/>
    <col min="3329" max="3329" width="20.140625" style="81" customWidth="1"/>
    <col min="3330" max="3330" width="23.5703125" style="81" customWidth="1"/>
    <col min="3331" max="3331" width="16.7109375" style="81" customWidth="1"/>
    <col min="3332" max="3333" width="11.42578125" style="81" customWidth="1"/>
    <col min="3334" max="3334" width="13.5703125" style="81" customWidth="1"/>
    <col min="3335" max="3575" width="11.42578125" style="81"/>
    <col min="3576" max="3576" width="14.42578125" style="81" customWidth="1"/>
    <col min="3577" max="3577" width="91.5703125" style="81" customWidth="1"/>
    <col min="3578" max="3578" width="17.85546875" style="81" bestFit="1" customWidth="1"/>
    <col min="3579" max="3579" width="16.85546875" style="81" customWidth="1"/>
    <col min="3580" max="3580" width="19.85546875" style="81" bestFit="1" customWidth="1"/>
    <col min="3581" max="3581" width="25.42578125" style="81" bestFit="1" customWidth="1"/>
    <col min="3582" max="3582" width="30.28515625" style="81" bestFit="1" customWidth="1"/>
    <col min="3583" max="3583" width="16.5703125" style="81" bestFit="1" customWidth="1"/>
    <col min="3584" max="3584" width="17.42578125" style="81" customWidth="1"/>
    <col min="3585" max="3585" width="20.140625" style="81" customWidth="1"/>
    <col min="3586" max="3586" width="23.5703125" style="81" customWidth="1"/>
    <col min="3587" max="3587" width="16.7109375" style="81" customWidth="1"/>
    <col min="3588" max="3589" width="11.42578125" style="81" customWidth="1"/>
    <col min="3590" max="3590" width="13.5703125" style="81" customWidth="1"/>
    <col min="3591" max="3831" width="11.42578125" style="81"/>
    <col min="3832" max="3832" width="14.42578125" style="81" customWidth="1"/>
    <col min="3833" max="3833" width="91.5703125" style="81" customWidth="1"/>
    <col min="3834" max="3834" width="17.85546875" style="81" bestFit="1" customWidth="1"/>
    <col min="3835" max="3835" width="16.85546875" style="81" customWidth="1"/>
    <col min="3836" max="3836" width="19.85546875" style="81" bestFit="1" customWidth="1"/>
    <col min="3837" max="3837" width="25.42578125" style="81" bestFit="1" customWidth="1"/>
    <col min="3838" max="3838" width="30.28515625" style="81" bestFit="1" customWidth="1"/>
    <col min="3839" max="3839" width="16.5703125" style="81" bestFit="1" customWidth="1"/>
    <col min="3840" max="3840" width="17.42578125" style="81" customWidth="1"/>
    <col min="3841" max="3841" width="20.140625" style="81" customWidth="1"/>
    <col min="3842" max="3842" width="23.5703125" style="81" customWidth="1"/>
    <col min="3843" max="3843" width="16.7109375" style="81" customWidth="1"/>
    <col min="3844" max="3845" width="11.42578125" style="81" customWidth="1"/>
    <col min="3846" max="3846" width="13.5703125" style="81" customWidth="1"/>
    <col min="3847" max="4087" width="11.42578125" style="81"/>
    <col min="4088" max="4088" width="14.42578125" style="81" customWidth="1"/>
    <col min="4089" max="4089" width="91.5703125" style="81" customWidth="1"/>
    <col min="4090" max="4090" width="17.85546875" style="81" bestFit="1" customWidth="1"/>
    <col min="4091" max="4091" width="16.85546875" style="81" customWidth="1"/>
    <col min="4092" max="4092" width="19.85546875" style="81" bestFit="1" customWidth="1"/>
    <col min="4093" max="4093" width="25.42578125" style="81" bestFit="1" customWidth="1"/>
    <col min="4094" max="4094" width="30.28515625" style="81" bestFit="1" customWidth="1"/>
    <col min="4095" max="4095" width="16.5703125" style="81" bestFit="1" customWidth="1"/>
    <col min="4096" max="4096" width="17.42578125" style="81" customWidth="1"/>
    <col min="4097" max="4097" width="20.140625" style="81" customWidth="1"/>
    <col min="4098" max="4098" width="23.5703125" style="81" customWidth="1"/>
    <col min="4099" max="4099" width="16.7109375" style="81" customWidth="1"/>
    <col min="4100" max="4101" width="11.42578125" style="81" customWidth="1"/>
    <col min="4102" max="4102" width="13.5703125" style="81" customWidth="1"/>
    <col min="4103" max="4343" width="11.42578125" style="81"/>
    <col min="4344" max="4344" width="14.42578125" style="81" customWidth="1"/>
    <col min="4345" max="4345" width="91.5703125" style="81" customWidth="1"/>
    <col min="4346" max="4346" width="17.85546875" style="81" bestFit="1" customWidth="1"/>
    <col min="4347" max="4347" width="16.85546875" style="81" customWidth="1"/>
    <col min="4348" max="4348" width="19.85546875" style="81" bestFit="1" customWidth="1"/>
    <col min="4349" max="4349" width="25.42578125" style="81" bestFit="1" customWidth="1"/>
    <col min="4350" max="4350" width="30.28515625" style="81" bestFit="1" customWidth="1"/>
    <col min="4351" max="4351" width="16.5703125" style="81" bestFit="1" customWidth="1"/>
    <col min="4352" max="4352" width="17.42578125" style="81" customWidth="1"/>
    <col min="4353" max="4353" width="20.140625" style="81" customWidth="1"/>
    <col min="4354" max="4354" width="23.5703125" style="81" customWidth="1"/>
    <col min="4355" max="4355" width="16.7109375" style="81" customWidth="1"/>
    <col min="4356" max="4357" width="11.42578125" style="81" customWidth="1"/>
    <col min="4358" max="4358" width="13.5703125" style="81" customWidth="1"/>
    <col min="4359" max="4599" width="11.42578125" style="81"/>
    <col min="4600" max="4600" width="14.42578125" style="81" customWidth="1"/>
    <col min="4601" max="4601" width="91.5703125" style="81" customWidth="1"/>
    <col min="4602" max="4602" width="17.85546875" style="81" bestFit="1" customWidth="1"/>
    <col min="4603" max="4603" width="16.85546875" style="81" customWidth="1"/>
    <col min="4604" max="4604" width="19.85546875" style="81" bestFit="1" customWidth="1"/>
    <col min="4605" max="4605" width="25.42578125" style="81" bestFit="1" customWidth="1"/>
    <col min="4606" max="4606" width="30.28515625" style="81" bestFit="1" customWidth="1"/>
    <col min="4607" max="4607" width="16.5703125" style="81" bestFit="1" customWidth="1"/>
    <col min="4608" max="4608" width="17.42578125" style="81" customWidth="1"/>
    <col min="4609" max="4609" width="20.140625" style="81" customWidth="1"/>
    <col min="4610" max="4610" width="23.5703125" style="81" customWidth="1"/>
    <col min="4611" max="4611" width="16.7109375" style="81" customWidth="1"/>
    <col min="4612" max="4613" width="11.42578125" style="81" customWidth="1"/>
    <col min="4614" max="4614" width="13.5703125" style="81" customWidth="1"/>
    <col min="4615" max="4855" width="11.42578125" style="81"/>
    <col min="4856" max="4856" width="14.42578125" style="81" customWidth="1"/>
    <col min="4857" max="4857" width="91.5703125" style="81" customWidth="1"/>
    <col min="4858" max="4858" width="17.85546875" style="81" bestFit="1" customWidth="1"/>
    <col min="4859" max="4859" width="16.85546875" style="81" customWidth="1"/>
    <col min="4860" max="4860" width="19.85546875" style="81" bestFit="1" customWidth="1"/>
    <col min="4861" max="4861" width="25.42578125" style="81" bestFit="1" customWidth="1"/>
    <col min="4862" max="4862" width="30.28515625" style="81" bestFit="1" customWidth="1"/>
    <col min="4863" max="4863" width="16.5703125" style="81" bestFit="1" customWidth="1"/>
    <col min="4864" max="4864" width="17.42578125" style="81" customWidth="1"/>
    <col min="4865" max="4865" width="20.140625" style="81" customWidth="1"/>
    <col min="4866" max="4866" width="23.5703125" style="81" customWidth="1"/>
    <col min="4867" max="4867" width="16.7109375" style="81" customWidth="1"/>
    <col min="4868" max="4869" width="11.42578125" style="81" customWidth="1"/>
    <col min="4870" max="4870" width="13.5703125" style="81" customWidth="1"/>
    <col min="4871" max="5111" width="11.42578125" style="81"/>
    <col min="5112" max="5112" width="14.42578125" style="81" customWidth="1"/>
    <col min="5113" max="5113" width="91.5703125" style="81" customWidth="1"/>
    <col min="5114" max="5114" width="17.85546875" style="81" bestFit="1" customWidth="1"/>
    <col min="5115" max="5115" width="16.85546875" style="81" customWidth="1"/>
    <col min="5116" max="5116" width="19.85546875" style="81" bestFit="1" customWidth="1"/>
    <col min="5117" max="5117" width="25.42578125" style="81" bestFit="1" customWidth="1"/>
    <col min="5118" max="5118" width="30.28515625" style="81" bestFit="1" customWidth="1"/>
    <col min="5119" max="5119" width="16.5703125" style="81" bestFit="1" customWidth="1"/>
    <col min="5120" max="5120" width="17.42578125" style="81" customWidth="1"/>
    <col min="5121" max="5121" width="20.140625" style="81" customWidth="1"/>
    <col min="5122" max="5122" width="23.5703125" style="81" customWidth="1"/>
    <col min="5123" max="5123" width="16.7109375" style="81" customWidth="1"/>
    <col min="5124" max="5125" width="11.42578125" style="81" customWidth="1"/>
    <col min="5126" max="5126" width="13.5703125" style="81" customWidth="1"/>
    <col min="5127" max="5367" width="11.42578125" style="81"/>
    <col min="5368" max="5368" width="14.42578125" style="81" customWidth="1"/>
    <col min="5369" max="5369" width="91.5703125" style="81" customWidth="1"/>
    <col min="5370" max="5370" width="17.85546875" style="81" bestFit="1" customWidth="1"/>
    <col min="5371" max="5371" width="16.85546875" style="81" customWidth="1"/>
    <col min="5372" max="5372" width="19.85546875" style="81" bestFit="1" customWidth="1"/>
    <col min="5373" max="5373" width="25.42578125" style="81" bestFit="1" customWidth="1"/>
    <col min="5374" max="5374" width="30.28515625" style="81" bestFit="1" customWidth="1"/>
    <col min="5375" max="5375" width="16.5703125" style="81" bestFit="1" customWidth="1"/>
    <col min="5376" max="5376" width="17.42578125" style="81" customWidth="1"/>
    <col min="5377" max="5377" width="20.140625" style="81" customWidth="1"/>
    <col min="5378" max="5378" width="23.5703125" style="81" customWidth="1"/>
    <col min="5379" max="5379" width="16.7109375" style="81" customWidth="1"/>
    <col min="5380" max="5381" width="11.42578125" style="81" customWidth="1"/>
    <col min="5382" max="5382" width="13.5703125" style="81" customWidth="1"/>
    <col min="5383" max="5623" width="11.42578125" style="81"/>
    <col min="5624" max="5624" width="14.42578125" style="81" customWidth="1"/>
    <col min="5625" max="5625" width="91.5703125" style="81" customWidth="1"/>
    <col min="5626" max="5626" width="17.85546875" style="81" bestFit="1" customWidth="1"/>
    <col min="5627" max="5627" width="16.85546875" style="81" customWidth="1"/>
    <col min="5628" max="5628" width="19.85546875" style="81" bestFit="1" customWidth="1"/>
    <col min="5629" max="5629" width="25.42578125" style="81" bestFit="1" customWidth="1"/>
    <col min="5630" max="5630" width="30.28515625" style="81" bestFit="1" customWidth="1"/>
    <col min="5631" max="5631" width="16.5703125" style="81" bestFit="1" customWidth="1"/>
    <col min="5632" max="5632" width="17.42578125" style="81" customWidth="1"/>
    <col min="5633" max="5633" width="20.140625" style="81" customWidth="1"/>
    <col min="5634" max="5634" width="23.5703125" style="81" customWidth="1"/>
    <col min="5635" max="5635" width="16.7109375" style="81" customWidth="1"/>
    <col min="5636" max="5637" width="11.42578125" style="81" customWidth="1"/>
    <col min="5638" max="5638" width="13.5703125" style="81" customWidth="1"/>
    <col min="5639" max="5879" width="11.42578125" style="81"/>
    <col min="5880" max="5880" width="14.42578125" style="81" customWidth="1"/>
    <col min="5881" max="5881" width="91.5703125" style="81" customWidth="1"/>
    <col min="5882" max="5882" width="17.85546875" style="81" bestFit="1" customWidth="1"/>
    <col min="5883" max="5883" width="16.85546875" style="81" customWidth="1"/>
    <col min="5884" max="5884" width="19.85546875" style="81" bestFit="1" customWidth="1"/>
    <col min="5885" max="5885" width="25.42578125" style="81" bestFit="1" customWidth="1"/>
    <col min="5886" max="5886" width="30.28515625" style="81" bestFit="1" customWidth="1"/>
    <col min="5887" max="5887" width="16.5703125" style="81" bestFit="1" customWidth="1"/>
    <col min="5888" max="5888" width="17.42578125" style="81" customWidth="1"/>
    <col min="5889" max="5889" width="20.140625" style="81" customWidth="1"/>
    <col min="5890" max="5890" width="23.5703125" style="81" customWidth="1"/>
    <col min="5891" max="5891" width="16.7109375" style="81" customWidth="1"/>
    <col min="5892" max="5893" width="11.42578125" style="81" customWidth="1"/>
    <col min="5894" max="5894" width="13.5703125" style="81" customWidth="1"/>
    <col min="5895" max="6135" width="11.42578125" style="81"/>
    <col min="6136" max="6136" width="14.42578125" style="81" customWidth="1"/>
    <col min="6137" max="6137" width="91.5703125" style="81" customWidth="1"/>
    <col min="6138" max="6138" width="17.85546875" style="81" bestFit="1" customWidth="1"/>
    <col min="6139" max="6139" width="16.85546875" style="81" customWidth="1"/>
    <col min="6140" max="6140" width="19.85546875" style="81" bestFit="1" customWidth="1"/>
    <col min="6141" max="6141" width="25.42578125" style="81" bestFit="1" customWidth="1"/>
    <col min="6142" max="6142" width="30.28515625" style="81" bestFit="1" customWidth="1"/>
    <col min="6143" max="6143" width="16.5703125" style="81" bestFit="1" customWidth="1"/>
    <col min="6144" max="6144" width="17.42578125" style="81" customWidth="1"/>
    <col min="6145" max="6145" width="20.140625" style="81" customWidth="1"/>
    <col min="6146" max="6146" width="23.5703125" style="81" customWidth="1"/>
    <col min="6147" max="6147" width="16.7109375" style="81" customWidth="1"/>
    <col min="6148" max="6149" width="11.42578125" style="81" customWidth="1"/>
    <col min="6150" max="6150" width="13.5703125" style="81" customWidth="1"/>
    <col min="6151" max="6391" width="11.42578125" style="81"/>
    <col min="6392" max="6392" width="14.42578125" style="81" customWidth="1"/>
    <col min="6393" max="6393" width="91.5703125" style="81" customWidth="1"/>
    <col min="6394" max="6394" width="17.85546875" style="81" bestFit="1" customWidth="1"/>
    <col min="6395" max="6395" width="16.85546875" style="81" customWidth="1"/>
    <col min="6396" max="6396" width="19.85546875" style="81" bestFit="1" customWidth="1"/>
    <col min="6397" max="6397" width="25.42578125" style="81" bestFit="1" customWidth="1"/>
    <col min="6398" max="6398" width="30.28515625" style="81" bestFit="1" customWidth="1"/>
    <col min="6399" max="6399" width="16.5703125" style="81" bestFit="1" customWidth="1"/>
    <col min="6400" max="6400" width="17.42578125" style="81" customWidth="1"/>
    <col min="6401" max="6401" width="20.140625" style="81" customWidth="1"/>
    <col min="6402" max="6402" width="23.5703125" style="81" customWidth="1"/>
    <col min="6403" max="6403" width="16.7109375" style="81" customWidth="1"/>
    <col min="6404" max="6405" width="11.42578125" style="81" customWidth="1"/>
    <col min="6406" max="6406" width="13.5703125" style="81" customWidth="1"/>
    <col min="6407" max="6647" width="11.42578125" style="81"/>
    <col min="6648" max="6648" width="14.42578125" style="81" customWidth="1"/>
    <col min="6649" max="6649" width="91.5703125" style="81" customWidth="1"/>
    <col min="6650" max="6650" width="17.85546875" style="81" bestFit="1" customWidth="1"/>
    <col min="6651" max="6651" width="16.85546875" style="81" customWidth="1"/>
    <col min="6652" max="6652" width="19.85546875" style="81" bestFit="1" customWidth="1"/>
    <col min="6653" max="6653" width="25.42578125" style="81" bestFit="1" customWidth="1"/>
    <col min="6654" max="6654" width="30.28515625" style="81" bestFit="1" customWidth="1"/>
    <col min="6655" max="6655" width="16.5703125" style="81" bestFit="1" customWidth="1"/>
    <col min="6656" max="6656" width="17.42578125" style="81" customWidth="1"/>
    <col min="6657" max="6657" width="20.140625" style="81" customWidth="1"/>
    <col min="6658" max="6658" width="23.5703125" style="81" customWidth="1"/>
    <col min="6659" max="6659" width="16.7109375" style="81" customWidth="1"/>
    <col min="6660" max="6661" width="11.42578125" style="81" customWidth="1"/>
    <col min="6662" max="6662" width="13.5703125" style="81" customWidth="1"/>
    <col min="6663" max="6903" width="11.42578125" style="81"/>
    <col min="6904" max="6904" width="14.42578125" style="81" customWidth="1"/>
    <col min="6905" max="6905" width="91.5703125" style="81" customWidth="1"/>
    <col min="6906" max="6906" width="17.85546875" style="81" bestFit="1" customWidth="1"/>
    <col min="6907" max="6907" width="16.85546875" style="81" customWidth="1"/>
    <col min="6908" max="6908" width="19.85546875" style="81" bestFit="1" customWidth="1"/>
    <col min="6909" max="6909" width="25.42578125" style="81" bestFit="1" customWidth="1"/>
    <col min="6910" max="6910" width="30.28515625" style="81" bestFit="1" customWidth="1"/>
    <col min="6911" max="6911" width="16.5703125" style="81" bestFit="1" customWidth="1"/>
    <col min="6912" max="6912" width="17.42578125" style="81" customWidth="1"/>
    <col min="6913" max="6913" width="20.140625" style="81" customWidth="1"/>
    <col min="6914" max="6914" width="23.5703125" style="81" customWidth="1"/>
    <col min="6915" max="6915" width="16.7109375" style="81" customWidth="1"/>
    <col min="6916" max="6917" width="11.42578125" style="81" customWidth="1"/>
    <col min="6918" max="6918" width="13.5703125" style="81" customWidth="1"/>
    <col min="6919" max="7159" width="11.42578125" style="81"/>
    <col min="7160" max="7160" width="14.42578125" style="81" customWidth="1"/>
    <col min="7161" max="7161" width="91.5703125" style="81" customWidth="1"/>
    <col min="7162" max="7162" width="17.85546875" style="81" bestFit="1" customWidth="1"/>
    <col min="7163" max="7163" width="16.85546875" style="81" customWidth="1"/>
    <col min="7164" max="7164" width="19.85546875" style="81" bestFit="1" customWidth="1"/>
    <col min="7165" max="7165" width="25.42578125" style="81" bestFit="1" customWidth="1"/>
    <col min="7166" max="7166" width="30.28515625" style="81" bestFit="1" customWidth="1"/>
    <col min="7167" max="7167" width="16.5703125" style="81" bestFit="1" customWidth="1"/>
    <col min="7168" max="7168" width="17.42578125" style="81" customWidth="1"/>
    <col min="7169" max="7169" width="20.140625" style="81" customWidth="1"/>
    <col min="7170" max="7170" width="23.5703125" style="81" customWidth="1"/>
    <col min="7171" max="7171" width="16.7109375" style="81" customWidth="1"/>
    <col min="7172" max="7173" width="11.42578125" style="81" customWidth="1"/>
    <col min="7174" max="7174" width="13.5703125" style="81" customWidth="1"/>
    <col min="7175" max="7415" width="11.42578125" style="81"/>
    <col min="7416" max="7416" width="14.42578125" style="81" customWidth="1"/>
    <col min="7417" max="7417" width="91.5703125" style="81" customWidth="1"/>
    <col min="7418" max="7418" width="17.85546875" style="81" bestFit="1" customWidth="1"/>
    <col min="7419" max="7419" width="16.85546875" style="81" customWidth="1"/>
    <col min="7420" max="7420" width="19.85546875" style="81" bestFit="1" customWidth="1"/>
    <col min="7421" max="7421" width="25.42578125" style="81" bestFit="1" customWidth="1"/>
    <col min="7422" max="7422" width="30.28515625" style="81" bestFit="1" customWidth="1"/>
    <col min="7423" max="7423" width="16.5703125" style="81" bestFit="1" customWidth="1"/>
    <col min="7424" max="7424" width="17.42578125" style="81" customWidth="1"/>
    <col min="7425" max="7425" width="20.140625" style="81" customWidth="1"/>
    <col min="7426" max="7426" width="23.5703125" style="81" customWidth="1"/>
    <col min="7427" max="7427" width="16.7109375" style="81" customWidth="1"/>
    <col min="7428" max="7429" width="11.42578125" style="81" customWidth="1"/>
    <col min="7430" max="7430" width="13.5703125" style="81" customWidth="1"/>
    <col min="7431" max="7671" width="11.42578125" style="81"/>
    <col min="7672" max="7672" width="14.42578125" style="81" customWidth="1"/>
    <col min="7673" max="7673" width="91.5703125" style="81" customWidth="1"/>
    <col min="7674" max="7674" width="17.85546875" style="81" bestFit="1" customWidth="1"/>
    <col min="7675" max="7675" width="16.85546875" style="81" customWidth="1"/>
    <col min="7676" max="7676" width="19.85546875" style="81" bestFit="1" customWidth="1"/>
    <col min="7677" max="7677" width="25.42578125" style="81" bestFit="1" customWidth="1"/>
    <col min="7678" max="7678" width="30.28515625" style="81" bestFit="1" customWidth="1"/>
    <col min="7679" max="7679" width="16.5703125" style="81" bestFit="1" customWidth="1"/>
    <col min="7680" max="7680" width="17.42578125" style="81" customWidth="1"/>
    <col min="7681" max="7681" width="20.140625" style="81" customWidth="1"/>
    <col min="7682" max="7682" width="23.5703125" style="81" customWidth="1"/>
    <col min="7683" max="7683" width="16.7109375" style="81" customWidth="1"/>
    <col min="7684" max="7685" width="11.42578125" style="81" customWidth="1"/>
    <col min="7686" max="7686" width="13.5703125" style="81" customWidth="1"/>
    <col min="7687" max="7927" width="11.42578125" style="81"/>
    <col min="7928" max="7928" width="14.42578125" style="81" customWidth="1"/>
    <col min="7929" max="7929" width="91.5703125" style="81" customWidth="1"/>
    <col min="7930" max="7930" width="17.85546875" style="81" bestFit="1" customWidth="1"/>
    <col min="7931" max="7931" width="16.85546875" style="81" customWidth="1"/>
    <col min="7932" max="7932" width="19.85546875" style="81" bestFit="1" customWidth="1"/>
    <col min="7933" max="7933" width="25.42578125" style="81" bestFit="1" customWidth="1"/>
    <col min="7934" max="7934" width="30.28515625" style="81" bestFit="1" customWidth="1"/>
    <col min="7935" max="7935" width="16.5703125" style="81" bestFit="1" customWidth="1"/>
    <col min="7936" max="7936" width="17.42578125" style="81" customWidth="1"/>
    <col min="7937" max="7937" width="20.140625" style="81" customWidth="1"/>
    <col min="7938" max="7938" width="23.5703125" style="81" customWidth="1"/>
    <col min="7939" max="7939" width="16.7109375" style="81" customWidth="1"/>
    <col min="7940" max="7941" width="11.42578125" style="81" customWidth="1"/>
    <col min="7942" max="7942" width="13.5703125" style="81" customWidth="1"/>
    <col min="7943" max="8183" width="11.42578125" style="81"/>
    <col min="8184" max="8184" width="14.42578125" style="81" customWidth="1"/>
    <col min="8185" max="8185" width="91.5703125" style="81" customWidth="1"/>
    <col min="8186" max="8186" width="17.85546875" style="81" bestFit="1" customWidth="1"/>
    <col min="8187" max="8187" width="16.85546875" style="81" customWidth="1"/>
    <col min="8188" max="8188" width="19.85546875" style="81" bestFit="1" customWidth="1"/>
    <col min="8189" max="8189" width="25.42578125" style="81" bestFit="1" customWidth="1"/>
    <col min="8190" max="8190" width="30.28515625" style="81" bestFit="1" customWidth="1"/>
    <col min="8191" max="8191" width="16.5703125" style="81" bestFit="1" customWidth="1"/>
    <col min="8192" max="8192" width="17.42578125" style="81" customWidth="1"/>
    <col min="8193" max="8193" width="20.140625" style="81" customWidth="1"/>
    <col min="8194" max="8194" width="23.5703125" style="81" customWidth="1"/>
    <col min="8195" max="8195" width="16.7109375" style="81" customWidth="1"/>
    <col min="8196" max="8197" width="11.42578125" style="81" customWidth="1"/>
    <col min="8198" max="8198" width="13.5703125" style="81" customWidth="1"/>
    <col min="8199" max="8439" width="11.42578125" style="81"/>
    <col min="8440" max="8440" width="14.42578125" style="81" customWidth="1"/>
    <col min="8441" max="8441" width="91.5703125" style="81" customWidth="1"/>
    <col min="8442" max="8442" width="17.85546875" style="81" bestFit="1" customWidth="1"/>
    <col min="8443" max="8443" width="16.85546875" style="81" customWidth="1"/>
    <col min="8444" max="8444" width="19.85546875" style="81" bestFit="1" customWidth="1"/>
    <col min="8445" max="8445" width="25.42578125" style="81" bestFit="1" customWidth="1"/>
    <col min="8446" max="8446" width="30.28515625" style="81" bestFit="1" customWidth="1"/>
    <col min="8447" max="8447" width="16.5703125" style="81" bestFit="1" customWidth="1"/>
    <col min="8448" max="8448" width="17.42578125" style="81" customWidth="1"/>
    <col min="8449" max="8449" width="20.140625" style="81" customWidth="1"/>
    <col min="8450" max="8450" width="23.5703125" style="81" customWidth="1"/>
    <col min="8451" max="8451" width="16.7109375" style="81" customWidth="1"/>
    <col min="8452" max="8453" width="11.42578125" style="81" customWidth="1"/>
    <col min="8454" max="8454" width="13.5703125" style="81" customWidth="1"/>
    <col min="8455" max="8695" width="11.42578125" style="81"/>
    <col min="8696" max="8696" width="14.42578125" style="81" customWidth="1"/>
    <col min="8697" max="8697" width="91.5703125" style="81" customWidth="1"/>
    <col min="8698" max="8698" width="17.85546875" style="81" bestFit="1" customWidth="1"/>
    <col min="8699" max="8699" width="16.85546875" style="81" customWidth="1"/>
    <col min="8700" max="8700" width="19.85546875" style="81" bestFit="1" customWidth="1"/>
    <col min="8701" max="8701" width="25.42578125" style="81" bestFit="1" customWidth="1"/>
    <col min="8702" max="8702" width="30.28515625" style="81" bestFit="1" customWidth="1"/>
    <col min="8703" max="8703" width="16.5703125" style="81" bestFit="1" customWidth="1"/>
    <col min="8704" max="8704" width="17.42578125" style="81" customWidth="1"/>
    <col min="8705" max="8705" width="20.140625" style="81" customWidth="1"/>
    <col min="8706" max="8706" width="23.5703125" style="81" customWidth="1"/>
    <col min="8707" max="8707" width="16.7109375" style="81" customWidth="1"/>
    <col min="8708" max="8709" width="11.42578125" style="81" customWidth="1"/>
    <col min="8710" max="8710" width="13.5703125" style="81" customWidth="1"/>
    <col min="8711" max="8951" width="11.42578125" style="81"/>
    <col min="8952" max="8952" width="14.42578125" style="81" customWidth="1"/>
    <col min="8953" max="8953" width="91.5703125" style="81" customWidth="1"/>
    <col min="8954" max="8954" width="17.85546875" style="81" bestFit="1" customWidth="1"/>
    <col min="8955" max="8955" width="16.85546875" style="81" customWidth="1"/>
    <col min="8956" max="8956" width="19.85546875" style="81" bestFit="1" customWidth="1"/>
    <col min="8957" max="8957" width="25.42578125" style="81" bestFit="1" customWidth="1"/>
    <col min="8958" max="8958" width="30.28515625" style="81" bestFit="1" customWidth="1"/>
    <col min="8959" max="8959" width="16.5703125" style="81" bestFit="1" customWidth="1"/>
    <col min="8960" max="8960" width="17.42578125" style="81" customWidth="1"/>
    <col min="8961" max="8961" width="20.140625" style="81" customWidth="1"/>
    <col min="8962" max="8962" width="23.5703125" style="81" customWidth="1"/>
    <col min="8963" max="8963" width="16.7109375" style="81" customWidth="1"/>
    <col min="8964" max="8965" width="11.42578125" style="81" customWidth="1"/>
    <col min="8966" max="8966" width="13.5703125" style="81" customWidth="1"/>
    <col min="8967" max="9207" width="11.42578125" style="81"/>
    <col min="9208" max="9208" width="14.42578125" style="81" customWidth="1"/>
    <col min="9209" max="9209" width="91.5703125" style="81" customWidth="1"/>
    <col min="9210" max="9210" width="17.85546875" style="81" bestFit="1" customWidth="1"/>
    <col min="9211" max="9211" width="16.85546875" style="81" customWidth="1"/>
    <col min="9212" max="9212" width="19.85546875" style="81" bestFit="1" customWidth="1"/>
    <col min="9213" max="9213" width="25.42578125" style="81" bestFit="1" customWidth="1"/>
    <col min="9214" max="9214" width="30.28515625" style="81" bestFit="1" customWidth="1"/>
    <col min="9215" max="9215" width="16.5703125" style="81" bestFit="1" customWidth="1"/>
    <col min="9216" max="9216" width="17.42578125" style="81" customWidth="1"/>
    <col min="9217" max="9217" width="20.140625" style="81" customWidth="1"/>
    <col min="9218" max="9218" width="23.5703125" style="81" customWidth="1"/>
    <col min="9219" max="9219" width="16.7109375" style="81" customWidth="1"/>
    <col min="9220" max="9221" width="11.42578125" style="81" customWidth="1"/>
    <col min="9222" max="9222" width="13.5703125" style="81" customWidth="1"/>
    <col min="9223" max="9463" width="11.42578125" style="81"/>
    <col min="9464" max="9464" width="14.42578125" style="81" customWidth="1"/>
    <col min="9465" max="9465" width="91.5703125" style="81" customWidth="1"/>
    <col min="9466" max="9466" width="17.85546875" style="81" bestFit="1" customWidth="1"/>
    <col min="9467" max="9467" width="16.85546875" style="81" customWidth="1"/>
    <col min="9468" max="9468" width="19.85546875" style="81" bestFit="1" customWidth="1"/>
    <col min="9469" max="9469" width="25.42578125" style="81" bestFit="1" customWidth="1"/>
    <col min="9470" max="9470" width="30.28515625" style="81" bestFit="1" customWidth="1"/>
    <col min="9471" max="9471" width="16.5703125" style="81" bestFit="1" customWidth="1"/>
    <col min="9472" max="9472" width="17.42578125" style="81" customWidth="1"/>
    <col min="9473" max="9473" width="20.140625" style="81" customWidth="1"/>
    <col min="9474" max="9474" width="23.5703125" style="81" customWidth="1"/>
    <col min="9475" max="9475" width="16.7109375" style="81" customWidth="1"/>
    <col min="9476" max="9477" width="11.42578125" style="81" customWidth="1"/>
    <col min="9478" max="9478" width="13.5703125" style="81" customWidth="1"/>
    <col min="9479" max="9719" width="11.42578125" style="81"/>
    <col min="9720" max="9720" width="14.42578125" style="81" customWidth="1"/>
    <col min="9721" max="9721" width="91.5703125" style="81" customWidth="1"/>
    <col min="9722" max="9722" width="17.85546875" style="81" bestFit="1" customWidth="1"/>
    <col min="9723" max="9723" width="16.85546875" style="81" customWidth="1"/>
    <col min="9724" max="9724" width="19.85546875" style="81" bestFit="1" customWidth="1"/>
    <col min="9725" max="9725" width="25.42578125" style="81" bestFit="1" customWidth="1"/>
    <col min="9726" max="9726" width="30.28515625" style="81" bestFit="1" customWidth="1"/>
    <col min="9727" max="9727" width="16.5703125" style="81" bestFit="1" customWidth="1"/>
    <col min="9728" max="9728" width="17.42578125" style="81" customWidth="1"/>
    <col min="9729" max="9729" width="20.140625" style="81" customWidth="1"/>
    <col min="9730" max="9730" width="23.5703125" style="81" customWidth="1"/>
    <col min="9731" max="9731" width="16.7109375" style="81" customWidth="1"/>
    <col min="9732" max="9733" width="11.42578125" style="81" customWidth="1"/>
    <col min="9734" max="9734" width="13.5703125" style="81" customWidth="1"/>
    <col min="9735" max="9975" width="11.42578125" style="81"/>
    <col min="9976" max="9976" width="14.42578125" style="81" customWidth="1"/>
    <col min="9977" max="9977" width="91.5703125" style="81" customWidth="1"/>
    <col min="9978" max="9978" width="17.85546875" style="81" bestFit="1" customWidth="1"/>
    <col min="9979" max="9979" width="16.85546875" style="81" customWidth="1"/>
    <col min="9980" max="9980" width="19.85546875" style="81" bestFit="1" customWidth="1"/>
    <col min="9981" max="9981" width="25.42578125" style="81" bestFit="1" customWidth="1"/>
    <col min="9982" max="9982" width="30.28515625" style="81" bestFit="1" customWidth="1"/>
    <col min="9983" max="9983" width="16.5703125" style="81" bestFit="1" customWidth="1"/>
    <col min="9984" max="9984" width="17.42578125" style="81" customWidth="1"/>
    <col min="9985" max="9985" width="20.140625" style="81" customWidth="1"/>
    <col min="9986" max="9986" width="23.5703125" style="81" customWidth="1"/>
    <col min="9987" max="9987" width="16.7109375" style="81" customWidth="1"/>
    <col min="9988" max="9989" width="11.42578125" style="81" customWidth="1"/>
    <col min="9990" max="9990" width="13.5703125" style="81" customWidth="1"/>
    <col min="9991" max="10231" width="11.42578125" style="81"/>
    <col min="10232" max="10232" width="14.42578125" style="81" customWidth="1"/>
    <col min="10233" max="10233" width="91.5703125" style="81" customWidth="1"/>
    <col min="10234" max="10234" width="17.85546875" style="81" bestFit="1" customWidth="1"/>
    <col min="10235" max="10235" width="16.85546875" style="81" customWidth="1"/>
    <col min="10236" max="10236" width="19.85546875" style="81" bestFit="1" customWidth="1"/>
    <col min="10237" max="10237" width="25.42578125" style="81" bestFit="1" customWidth="1"/>
    <col min="10238" max="10238" width="30.28515625" style="81" bestFit="1" customWidth="1"/>
    <col min="10239" max="10239" width="16.5703125" style="81" bestFit="1" customWidth="1"/>
    <col min="10240" max="10240" width="17.42578125" style="81" customWidth="1"/>
    <col min="10241" max="10241" width="20.140625" style="81" customWidth="1"/>
    <col min="10242" max="10242" width="23.5703125" style="81" customWidth="1"/>
    <col min="10243" max="10243" width="16.7109375" style="81" customWidth="1"/>
    <col min="10244" max="10245" width="11.42578125" style="81" customWidth="1"/>
    <col min="10246" max="10246" width="13.5703125" style="81" customWidth="1"/>
    <col min="10247" max="10487" width="11.42578125" style="81"/>
    <col min="10488" max="10488" width="14.42578125" style="81" customWidth="1"/>
    <col min="10489" max="10489" width="91.5703125" style="81" customWidth="1"/>
    <col min="10490" max="10490" width="17.85546875" style="81" bestFit="1" customWidth="1"/>
    <col min="10491" max="10491" width="16.85546875" style="81" customWidth="1"/>
    <col min="10492" max="10492" width="19.85546875" style="81" bestFit="1" customWidth="1"/>
    <col min="10493" max="10493" width="25.42578125" style="81" bestFit="1" customWidth="1"/>
    <col min="10494" max="10494" width="30.28515625" style="81" bestFit="1" customWidth="1"/>
    <col min="10495" max="10495" width="16.5703125" style="81" bestFit="1" customWidth="1"/>
    <col min="10496" max="10496" width="17.42578125" style="81" customWidth="1"/>
    <col min="10497" max="10497" width="20.140625" style="81" customWidth="1"/>
    <col min="10498" max="10498" width="23.5703125" style="81" customWidth="1"/>
    <col min="10499" max="10499" width="16.7109375" style="81" customWidth="1"/>
    <col min="10500" max="10501" width="11.42578125" style="81" customWidth="1"/>
    <col min="10502" max="10502" width="13.5703125" style="81" customWidth="1"/>
    <col min="10503" max="10743" width="11.42578125" style="81"/>
    <col min="10744" max="10744" width="14.42578125" style="81" customWidth="1"/>
    <col min="10745" max="10745" width="91.5703125" style="81" customWidth="1"/>
    <col min="10746" max="10746" width="17.85546875" style="81" bestFit="1" customWidth="1"/>
    <col min="10747" max="10747" width="16.85546875" style="81" customWidth="1"/>
    <col min="10748" max="10748" width="19.85546875" style="81" bestFit="1" customWidth="1"/>
    <col min="10749" max="10749" width="25.42578125" style="81" bestFit="1" customWidth="1"/>
    <col min="10750" max="10750" width="30.28515625" style="81" bestFit="1" customWidth="1"/>
    <col min="10751" max="10751" width="16.5703125" style="81" bestFit="1" customWidth="1"/>
    <col min="10752" max="10752" width="17.42578125" style="81" customWidth="1"/>
    <col min="10753" max="10753" width="20.140625" style="81" customWidth="1"/>
    <col min="10754" max="10754" width="23.5703125" style="81" customWidth="1"/>
    <col min="10755" max="10755" width="16.7109375" style="81" customWidth="1"/>
    <col min="10756" max="10757" width="11.42578125" style="81" customWidth="1"/>
    <col min="10758" max="10758" width="13.5703125" style="81" customWidth="1"/>
    <col min="10759" max="10999" width="11.42578125" style="81"/>
    <col min="11000" max="11000" width="14.42578125" style="81" customWidth="1"/>
    <col min="11001" max="11001" width="91.5703125" style="81" customWidth="1"/>
    <col min="11002" max="11002" width="17.85546875" style="81" bestFit="1" customWidth="1"/>
    <col min="11003" max="11003" width="16.85546875" style="81" customWidth="1"/>
    <col min="11004" max="11004" width="19.85546875" style="81" bestFit="1" customWidth="1"/>
    <col min="11005" max="11005" width="25.42578125" style="81" bestFit="1" customWidth="1"/>
    <col min="11006" max="11006" width="30.28515625" style="81" bestFit="1" customWidth="1"/>
    <col min="11007" max="11007" width="16.5703125" style="81" bestFit="1" customWidth="1"/>
    <col min="11008" max="11008" width="17.42578125" style="81" customWidth="1"/>
    <col min="11009" max="11009" width="20.140625" style="81" customWidth="1"/>
    <col min="11010" max="11010" width="23.5703125" style="81" customWidth="1"/>
    <col min="11011" max="11011" width="16.7109375" style="81" customWidth="1"/>
    <col min="11012" max="11013" width="11.42578125" style="81" customWidth="1"/>
    <col min="11014" max="11014" width="13.5703125" style="81" customWidth="1"/>
    <col min="11015" max="11255" width="11.42578125" style="81"/>
    <col min="11256" max="11256" width="14.42578125" style="81" customWidth="1"/>
    <col min="11257" max="11257" width="91.5703125" style="81" customWidth="1"/>
    <col min="11258" max="11258" width="17.85546875" style="81" bestFit="1" customWidth="1"/>
    <col min="11259" max="11259" width="16.85546875" style="81" customWidth="1"/>
    <col min="11260" max="11260" width="19.85546875" style="81" bestFit="1" customWidth="1"/>
    <col min="11261" max="11261" width="25.42578125" style="81" bestFit="1" customWidth="1"/>
    <col min="11262" max="11262" width="30.28515625" style="81" bestFit="1" customWidth="1"/>
    <col min="11263" max="11263" width="16.5703125" style="81" bestFit="1" customWidth="1"/>
    <col min="11264" max="11264" width="17.42578125" style="81" customWidth="1"/>
    <col min="11265" max="11265" width="20.140625" style="81" customWidth="1"/>
    <col min="11266" max="11266" width="23.5703125" style="81" customWidth="1"/>
    <col min="11267" max="11267" width="16.7109375" style="81" customWidth="1"/>
    <col min="11268" max="11269" width="11.42578125" style="81" customWidth="1"/>
    <col min="11270" max="11270" width="13.5703125" style="81" customWidth="1"/>
    <col min="11271" max="11511" width="11.42578125" style="81"/>
    <col min="11512" max="11512" width="14.42578125" style="81" customWidth="1"/>
    <col min="11513" max="11513" width="91.5703125" style="81" customWidth="1"/>
    <col min="11514" max="11514" width="17.85546875" style="81" bestFit="1" customWidth="1"/>
    <col min="11515" max="11515" width="16.85546875" style="81" customWidth="1"/>
    <col min="11516" max="11516" width="19.85546875" style="81" bestFit="1" customWidth="1"/>
    <col min="11517" max="11517" width="25.42578125" style="81" bestFit="1" customWidth="1"/>
    <col min="11518" max="11518" width="30.28515625" style="81" bestFit="1" customWidth="1"/>
    <col min="11519" max="11519" width="16.5703125" style="81" bestFit="1" customWidth="1"/>
    <col min="11520" max="11520" width="17.42578125" style="81" customWidth="1"/>
    <col min="11521" max="11521" width="20.140625" style="81" customWidth="1"/>
    <col min="11522" max="11522" width="23.5703125" style="81" customWidth="1"/>
    <col min="11523" max="11523" width="16.7109375" style="81" customWidth="1"/>
    <col min="11524" max="11525" width="11.42578125" style="81" customWidth="1"/>
    <col min="11526" max="11526" width="13.5703125" style="81" customWidth="1"/>
    <col min="11527" max="11767" width="11.42578125" style="81"/>
    <col min="11768" max="11768" width="14.42578125" style="81" customWidth="1"/>
    <col min="11769" max="11769" width="91.5703125" style="81" customWidth="1"/>
    <col min="11770" max="11770" width="17.85546875" style="81" bestFit="1" customWidth="1"/>
    <col min="11771" max="11771" width="16.85546875" style="81" customWidth="1"/>
    <col min="11772" max="11772" width="19.85546875" style="81" bestFit="1" customWidth="1"/>
    <col min="11773" max="11773" width="25.42578125" style="81" bestFit="1" customWidth="1"/>
    <col min="11774" max="11774" width="30.28515625" style="81" bestFit="1" customWidth="1"/>
    <col min="11775" max="11775" width="16.5703125" style="81" bestFit="1" customWidth="1"/>
    <col min="11776" max="11776" width="17.42578125" style="81" customWidth="1"/>
    <col min="11777" max="11777" width="20.140625" style="81" customWidth="1"/>
    <col min="11778" max="11778" width="23.5703125" style="81" customWidth="1"/>
    <col min="11779" max="11779" width="16.7109375" style="81" customWidth="1"/>
    <col min="11780" max="11781" width="11.42578125" style="81" customWidth="1"/>
    <col min="11782" max="11782" width="13.5703125" style="81" customWidth="1"/>
    <col min="11783" max="12023" width="11.42578125" style="81"/>
    <col min="12024" max="12024" width="14.42578125" style="81" customWidth="1"/>
    <col min="12025" max="12025" width="91.5703125" style="81" customWidth="1"/>
    <col min="12026" max="12026" width="17.85546875" style="81" bestFit="1" customWidth="1"/>
    <col min="12027" max="12027" width="16.85546875" style="81" customWidth="1"/>
    <col min="12028" max="12028" width="19.85546875" style="81" bestFit="1" customWidth="1"/>
    <col min="12029" max="12029" width="25.42578125" style="81" bestFit="1" customWidth="1"/>
    <col min="12030" max="12030" width="30.28515625" style="81" bestFit="1" customWidth="1"/>
    <col min="12031" max="12031" width="16.5703125" style="81" bestFit="1" customWidth="1"/>
    <col min="12032" max="12032" width="17.42578125" style="81" customWidth="1"/>
    <col min="12033" max="12033" width="20.140625" style="81" customWidth="1"/>
    <col min="12034" max="12034" width="23.5703125" style="81" customWidth="1"/>
    <col min="12035" max="12035" width="16.7109375" style="81" customWidth="1"/>
    <col min="12036" max="12037" width="11.42578125" style="81" customWidth="1"/>
    <col min="12038" max="12038" width="13.5703125" style="81" customWidth="1"/>
    <col min="12039" max="12279" width="11.42578125" style="81"/>
    <col min="12280" max="12280" width="14.42578125" style="81" customWidth="1"/>
    <col min="12281" max="12281" width="91.5703125" style="81" customWidth="1"/>
    <col min="12282" max="12282" width="17.85546875" style="81" bestFit="1" customWidth="1"/>
    <col min="12283" max="12283" width="16.85546875" style="81" customWidth="1"/>
    <col min="12284" max="12284" width="19.85546875" style="81" bestFit="1" customWidth="1"/>
    <col min="12285" max="12285" width="25.42578125" style="81" bestFit="1" customWidth="1"/>
    <col min="12286" max="12286" width="30.28515625" style="81" bestFit="1" customWidth="1"/>
    <col min="12287" max="12287" width="16.5703125" style="81" bestFit="1" customWidth="1"/>
    <col min="12288" max="12288" width="17.42578125" style="81" customWidth="1"/>
    <col min="12289" max="12289" width="20.140625" style="81" customWidth="1"/>
    <col min="12290" max="12290" width="23.5703125" style="81" customWidth="1"/>
    <col min="12291" max="12291" width="16.7109375" style="81" customWidth="1"/>
    <col min="12292" max="12293" width="11.42578125" style="81" customWidth="1"/>
    <col min="12294" max="12294" width="13.5703125" style="81" customWidth="1"/>
    <col min="12295" max="12535" width="11.42578125" style="81"/>
    <col min="12536" max="12536" width="14.42578125" style="81" customWidth="1"/>
    <col min="12537" max="12537" width="91.5703125" style="81" customWidth="1"/>
    <col min="12538" max="12538" width="17.85546875" style="81" bestFit="1" customWidth="1"/>
    <col min="12539" max="12539" width="16.85546875" style="81" customWidth="1"/>
    <col min="12540" max="12540" width="19.85546875" style="81" bestFit="1" customWidth="1"/>
    <col min="12541" max="12541" width="25.42578125" style="81" bestFit="1" customWidth="1"/>
    <col min="12542" max="12542" width="30.28515625" style="81" bestFit="1" customWidth="1"/>
    <col min="12543" max="12543" width="16.5703125" style="81" bestFit="1" customWidth="1"/>
    <col min="12544" max="12544" width="17.42578125" style="81" customWidth="1"/>
    <col min="12545" max="12545" width="20.140625" style="81" customWidth="1"/>
    <col min="12546" max="12546" width="23.5703125" style="81" customWidth="1"/>
    <col min="12547" max="12547" width="16.7109375" style="81" customWidth="1"/>
    <col min="12548" max="12549" width="11.42578125" style="81" customWidth="1"/>
    <col min="12550" max="12550" width="13.5703125" style="81" customWidth="1"/>
    <col min="12551" max="12791" width="11.42578125" style="81"/>
    <col min="12792" max="12792" width="14.42578125" style="81" customWidth="1"/>
    <col min="12793" max="12793" width="91.5703125" style="81" customWidth="1"/>
    <col min="12794" max="12794" width="17.85546875" style="81" bestFit="1" customWidth="1"/>
    <col min="12795" max="12795" width="16.85546875" style="81" customWidth="1"/>
    <col min="12796" max="12796" width="19.85546875" style="81" bestFit="1" customWidth="1"/>
    <col min="12797" max="12797" width="25.42578125" style="81" bestFit="1" customWidth="1"/>
    <col min="12798" max="12798" width="30.28515625" style="81" bestFit="1" customWidth="1"/>
    <col min="12799" max="12799" width="16.5703125" style="81" bestFit="1" customWidth="1"/>
    <col min="12800" max="12800" width="17.42578125" style="81" customWidth="1"/>
    <col min="12801" max="12801" width="20.140625" style="81" customWidth="1"/>
    <col min="12802" max="12802" width="23.5703125" style="81" customWidth="1"/>
    <col min="12803" max="12803" width="16.7109375" style="81" customWidth="1"/>
    <col min="12804" max="12805" width="11.42578125" style="81" customWidth="1"/>
    <col min="12806" max="12806" width="13.5703125" style="81" customWidth="1"/>
    <col min="12807" max="13047" width="11.42578125" style="81"/>
    <col min="13048" max="13048" width="14.42578125" style="81" customWidth="1"/>
    <col min="13049" max="13049" width="91.5703125" style="81" customWidth="1"/>
    <col min="13050" max="13050" width="17.85546875" style="81" bestFit="1" customWidth="1"/>
    <col min="13051" max="13051" width="16.85546875" style="81" customWidth="1"/>
    <col min="13052" max="13052" width="19.85546875" style="81" bestFit="1" customWidth="1"/>
    <col min="13053" max="13053" width="25.42578125" style="81" bestFit="1" customWidth="1"/>
    <col min="13054" max="13054" width="30.28515625" style="81" bestFit="1" customWidth="1"/>
    <col min="13055" max="13055" width="16.5703125" style="81" bestFit="1" customWidth="1"/>
    <col min="13056" max="13056" width="17.42578125" style="81" customWidth="1"/>
    <col min="13057" max="13057" width="20.140625" style="81" customWidth="1"/>
    <col min="13058" max="13058" width="23.5703125" style="81" customWidth="1"/>
    <col min="13059" max="13059" width="16.7109375" style="81" customWidth="1"/>
    <col min="13060" max="13061" width="11.42578125" style="81" customWidth="1"/>
    <col min="13062" max="13062" width="13.5703125" style="81" customWidth="1"/>
    <col min="13063" max="13303" width="11.42578125" style="81"/>
    <col min="13304" max="13304" width="14.42578125" style="81" customWidth="1"/>
    <col min="13305" max="13305" width="91.5703125" style="81" customWidth="1"/>
    <col min="13306" max="13306" width="17.85546875" style="81" bestFit="1" customWidth="1"/>
    <col min="13307" max="13307" width="16.85546875" style="81" customWidth="1"/>
    <col min="13308" max="13308" width="19.85546875" style="81" bestFit="1" customWidth="1"/>
    <col min="13309" max="13309" width="25.42578125" style="81" bestFit="1" customWidth="1"/>
    <col min="13310" max="13310" width="30.28515625" style="81" bestFit="1" customWidth="1"/>
    <col min="13311" max="13311" width="16.5703125" style="81" bestFit="1" customWidth="1"/>
    <col min="13312" max="13312" width="17.42578125" style="81" customWidth="1"/>
    <col min="13313" max="13313" width="20.140625" style="81" customWidth="1"/>
    <col min="13314" max="13314" width="23.5703125" style="81" customWidth="1"/>
    <col min="13315" max="13315" width="16.7109375" style="81" customWidth="1"/>
    <col min="13316" max="13317" width="11.42578125" style="81" customWidth="1"/>
    <col min="13318" max="13318" width="13.5703125" style="81" customWidth="1"/>
    <col min="13319" max="13559" width="11.42578125" style="81"/>
    <col min="13560" max="13560" width="14.42578125" style="81" customWidth="1"/>
    <col min="13561" max="13561" width="91.5703125" style="81" customWidth="1"/>
    <col min="13562" max="13562" width="17.85546875" style="81" bestFit="1" customWidth="1"/>
    <col min="13563" max="13563" width="16.85546875" style="81" customWidth="1"/>
    <col min="13564" max="13564" width="19.85546875" style="81" bestFit="1" customWidth="1"/>
    <col min="13565" max="13565" width="25.42578125" style="81" bestFit="1" customWidth="1"/>
    <col min="13566" max="13566" width="30.28515625" style="81" bestFit="1" customWidth="1"/>
    <col min="13567" max="13567" width="16.5703125" style="81" bestFit="1" customWidth="1"/>
    <col min="13568" max="13568" width="17.42578125" style="81" customWidth="1"/>
    <col min="13569" max="13569" width="20.140625" style="81" customWidth="1"/>
    <col min="13570" max="13570" width="23.5703125" style="81" customWidth="1"/>
    <col min="13571" max="13571" width="16.7109375" style="81" customWidth="1"/>
    <col min="13572" max="13573" width="11.42578125" style="81" customWidth="1"/>
    <col min="13574" max="13574" width="13.5703125" style="81" customWidth="1"/>
    <col min="13575" max="13815" width="11.42578125" style="81"/>
    <col min="13816" max="13816" width="14.42578125" style="81" customWidth="1"/>
    <col min="13817" max="13817" width="91.5703125" style="81" customWidth="1"/>
    <col min="13818" max="13818" width="17.85546875" style="81" bestFit="1" customWidth="1"/>
    <col min="13819" max="13819" width="16.85546875" style="81" customWidth="1"/>
    <col min="13820" max="13820" width="19.85546875" style="81" bestFit="1" customWidth="1"/>
    <col min="13821" max="13821" width="25.42578125" style="81" bestFit="1" customWidth="1"/>
    <col min="13822" max="13822" width="30.28515625" style="81" bestFit="1" customWidth="1"/>
    <col min="13823" max="13823" width="16.5703125" style="81" bestFit="1" customWidth="1"/>
    <col min="13824" max="13824" width="17.42578125" style="81" customWidth="1"/>
    <col min="13825" max="13825" width="20.140625" style="81" customWidth="1"/>
    <col min="13826" max="13826" width="23.5703125" style="81" customWidth="1"/>
    <col min="13827" max="13827" width="16.7109375" style="81" customWidth="1"/>
    <col min="13828" max="13829" width="11.42578125" style="81" customWidth="1"/>
    <col min="13830" max="13830" width="13.5703125" style="81" customWidth="1"/>
    <col min="13831" max="14071" width="11.42578125" style="81"/>
    <col min="14072" max="14072" width="14.42578125" style="81" customWidth="1"/>
    <col min="14073" max="14073" width="91.5703125" style="81" customWidth="1"/>
    <col min="14074" max="14074" width="17.85546875" style="81" bestFit="1" customWidth="1"/>
    <col min="14075" max="14075" width="16.85546875" style="81" customWidth="1"/>
    <col min="14076" max="14076" width="19.85546875" style="81" bestFit="1" customWidth="1"/>
    <col min="14077" max="14077" width="25.42578125" style="81" bestFit="1" customWidth="1"/>
    <col min="14078" max="14078" width="30.28515625" style="81" bestFit="1" customWidth="1"/>
    <col min="14079" max="14079" width="16.5703125" style="81" bestFit="1" customWidth="1"/>
    <col min="14080" max="14080" width="17.42578125" style="81" customWidth="1"/>
    <col min="14081" max="14081" width="20.140625" style="81" customWidth="1"/>
    <col min="14082" max="14082" width="23.5703125" style="81" customWidth="1"/>
    <col min="14083" max="14083" width="16.7109375" style="81" customWidth="1"/>
    <col min="14084" max="14085" width="11.42578125" style="81" customWidth="1"/>
    <col min="14086" max="14086" width="13.5703125" style="81" customWidth="1"/>
    <col min="14087" max="14327" width="11.42578125" style="81"/>
    <col min="14328" max="14328" width="14.42578125" style="81" customWidth="1"/>
    <col min="14329" max="14329" width="91.5703125" style="81" customWidth="1"/>
    <col min="14330" max="14330" width="17.85546875" style="81" bestFit="1" customWidth="1"/>
    <col min="14331" max="14331" width="16.85546875" style="81" customWidth="1"/>
    <col min="14332" max="14332" width="19.85546875" style="81" bestFit="1" customWidth="1"/>
    <col min="14333" max="14333" width="25.42578125" style="81" bestFit="1" customWidth="1"/>
    <col min="14334" max="14334" width="30.28515625" style="81" bestFit="1" customWidth="1"/>
    <col min="14335" max="14335" width="16.5703125" style="81" bestFit="1" customWidth="1"/>
    <col min="14336" max="14336" width="17.42578125" style="81" customWidth="1"/>
    <col min="14337" max="14337" width="20.140625" style="81" customWidth="1"/>
    <col min="14338" max="14338" width="23.5703125" style="81" customWidth="1"/>
    <col min="14339" max="14339" width="16.7109375" style="81" customWidth="1"/>
    <col min="14340" max="14341" width="11.42578125" style="81" customWidth="1"/>
    <col min="14342" max="14342" width="13.5703125" style="81" customWidth="1"/>
    <col min="14343" max="14583" width="11.42578125" style="81"/>
    <col min="14584" max="14584" width="14.42578125" style="81" customWidth="1"/>
    <col min="14585" max="14585" width="91.5703125" style="81" customWidth="1"/>
    <col min="14586" max="14586" width="17.85546875" style="81" bestFit="1" customWidth="1"/>
    <col min="14587" max="14587" width="16.85546875" style="81" customWidth="1"/>
    <col min="14588" max="14588" width="19.85546875" style="81" bestFit="1" customWidth="1"/>
    <col min="14589" max="14589" width="25.42578125" style="81" bestFit="1" customWidth="1"/>
    <col min="14590" max="14590" width="30.28515625" style="81" bestFit="1" customWidth="1"/>
    <col min="14591" max="14591" width="16.5703125" style="81" bestFit="1" customWidth="1"/>
    <col min="14592" max="14592" width="17.42578125" style="81" customWidth="1"/>
    <col min="14593" max="14593" width="20.140625" style="81" customWidth="1"/>
    <col min="14594" max="14594" width="23.5703125" style="81" customWidth="1"/>
    <col min="14595" max="14595" width="16.7109375" style="81" customWidth="1"/>
    <col min="14596" max="14597" width="11.42578125" style="81" customWidth="1"/>
    <col min="14598" max="14598" width="13.5703125" style="81" customWidth="1"/>
    <col min="14599" max="14839" width="11.42578125" style="81"/>
    <col min="14840" max="14840" width="14.42578125" style="81" customWidth="1"/>
    <col min="14841" max="14841" width="91.5703125" style="81" customWidth="1"/>
    <col min="14842" max="14842" width="17.85546875" style="81" bestFit="1" customWidth="1"/>
    <col min="14843" max="14843" width="16.85546875" style="81" customWidth="1"/>
    <col min="14844" max="14844" width="19.85546875" style="81" bestFit="1" customWidth="1"/>
    <col min="14845" max="14845" width="25.42578125" style="81" bestFit="1" customWidth="1"/>
    <col min="14846" max="14846" width="30.28515625" style="81" bestFit="1" customWidth="1"/>
    <col min="14847" max="14847" width="16.5703125" style="81" bestFit="1" customWidth="1"/>
    <col min="14848" max="14848" width="17.42578125" style="81" customWidth="1"/>
    <col min="14849" max="14849" width="20.140625" style="81" customWidth="1"/>
    <col min="14850" max="14850" width="23.5703125" style="81" customWidth="1"/>
    <col min="14851" max="14851" width="16.7109375" style="81" customWidth="1"/>
    <col min="14852" max="14853" width="11.42578125" style="81" customWidth="1"/>
    <col min="14854" max="14854" width="13.5703125" style="81" customWidth="1"/>
    <col min="14855" max="15095" width="11.42578125" style="81"/>
    <col min="15096" max="15096" width="14.42578125" style="81" customWidth="1"/>
    <col min="15097" max="15097" width="91.5703125" style="81" customWidth="1"/>
    <col min="15098" max="15098" width="17.85546875" style="81" bestFit="1" customWidth="1"/>
    <col min="15099" max="15099" width="16.85546875" style="81" customWidth="1"/>
    <col min="15100" max="15100" width="19.85546875" style="81" bestFit="1" customWidth="1"/>
    <col min="15101" max="15101" width="25.42578125" style="81" bestFit="1" customWidth="1"/>
    <col min="15102" max="15102" width="30.28515625" style="81" bestFit="1" customWidth="1"/>
    <col min="15103" max="15103" width="16.5703125" style="81" bestFit="1" customWidth="1"/>
    <col min="15104" max="15104" width="17.42578125" style="81" customWidth="1"/>
    <col min="15105" max="15105" width="20.140625" style="81" customWidth="1"/>
    <col min="15106" max="15106" width="23.5703125" style="81" customWidth="1"/>
    <col min="15107" max="15107" width="16.7109375" style="81" customWidth="1"/>
    <col min="15108" max="15109" width="11.42578125" style="81" customWidth="1"/>
    <col min="15110" max="15110" width="13.5703125" style="81" customWidth="1"/>
    <col min="15111" max="15351" width="11.42578125" style="81"/>
    <col min="15352" max="15352" width="14.42578125" style="81" customWidth="1"/>
    <col min="15353" max="15353" width="91.5703125" style="81" customWidth="1"/>
    <col min="15354" max="15354" width="17.85546875" style="81" bestFit="1" customWidth="1"/>
    <col min="15355" max="15355" width="16.85546875" style="81" customWidth="1"/>
    <col min="15356" max="15356" width="19.85546875" style="81" bestFit="1" customWidth="1"/>
    <col min="15357" max="15357" width="25.42578125" style="81" bestFit="1" customWidth="1"/>
    <col min="15358" max="15358" width="30.28515625" style="81" bestFit="1" customWidth="1"/>
    <col min="15359" max="15359" width="16.5703125" style="81" bestFit="1" customWidth="1"/>
    <col min="15360" max="15360" width="17.42578125" style="81" customWidth="1"/>
    <col min="15361" max="15361" width="20.140625" style="81" customWidth="1"/>
    <col min="15362" max="15362" width="23.5703125" style="81" customWidth="1"/>
    <col min="15363" max="15363" width="16.7109375" style="81" customWidth="1"/>
    <col min="15364" max="15365" width="11.42578125" style="81" customWidth="1"/>
    <col min="15366" max="15366" width="13.5703125" style="81" customWidth="1"/>
    <col min="15367" max="15607" width="11.42578125" style="81"/>
    <col min="15608" max="15608" width="14.42578125" style="81" customWidth="1"/>
    <col min="15609" max="15609" width="91.5703125" style="81" customWidth="1"/>
    <col min="15610" max="15610" width="17.85546875" style="81" bestFit="1" customWidth="1"/>
    <col min="15611" max="15611" width="16.85546875" style="81" customWidth="1"/>
    <col min="15612" max="15612" width="19.85546875" style="81" bestFit="1" customWidth="1"/>
    <col min="15613" max="15613" width="25.42578125" style="81" bestFit="1" customWidth="1"/>
    <col min="15614" max="15614" width="30.28515625" style="81" bestFit="1" customWidth="1"/>
    <col min="15615" max="15615" width="16.5703125" style="81" bestFit="1" customWidth="1"/>
    <col min="15616" max="15616" width="17.42578125" style="81" customWidth="1"/>
    <col min="15617" max="15617" width="20.140625" style="81" customWidth="1"/>
    <col min="15618" max="15618" width="23.5703125" style="81" customWidth="1"/>
    <col min="15619" max="15619" width="16.7109375" style="81" customWidth="1"/>
    <col min="15620" max="15621" width="11.42578125" style="81" customWidth="1"/>
    <col min="15622" max="15622" width="13.5703125" style="81" customWidth="1"/>
    <col min="15623" max="15863" width="11.42578125" style="81"/>
    <col min="15864" max="15864" width="14.42578125" style="81" customWidth="1"/>
    <col min="15865" max="15865" width="91.5703125" style="81" customWidth="1"/>
    <col min="15866" max="15866" width="17.85546875" style="81" bestFit="1" customWidth="1"/>
    <col min="15867" max="15867" width="16.85546875" style="81" customWidth="1"/>
    <col min="15868" max="15868" width="19.85546875" style="81" bestFit="1" customWidth="1"/>
    <col min="15869" max="15869" width="25.42578125" style="81" bestFit="1" customWidth="1"/>
    <col min="15870" max="15870" width="30.28515625" style="81" bestFit="1" customWidth="1"/>
    <col min="15871" max="15871" width="16.5703125" style="81" bestFit="1" customWidth="1"/>
    <col min="15872" max="15872" width="17.42578125" style="81" customWidth="1"/>
    <col min="15873" max="15873" width="20.140625" style="81" customWidth="1"/>
    <col min="15874" max="15874" width="23.5703125" style="81" customWidth="1"/>
    <col min="15875" max="15875" width="16.7109375" style="81" customWidth="1"/>
    <col min="15876" max="15877" width="11.42578125" style="81" customWidth="1"/>
    <col min="15878" max="15878" width="13.5703125" style="81" customWidth="1"/>
    <col min="15879" max="16119" width="11.42578125" style="81"/>
    <col min="16120" max="16120" width="14.42578125" style="81" customWidth="1"/>
    <col min="16121" max="16121" width="91.5703125" style="81" customWidth="1"/>
    <col min="16122" max="16122" width="17.85546875" style="81" bestFit="1" customWidth="1"/>
    <col min="16123" max="16123" width="16.85546875" style="81" customWidth="1"/>
    <col min="16124" max="16124" width="19.85546875" style="81" bestFit="1" customWidth="1"/>
    <col min="16125" max="16125" width="25.42578125" style="81" bestFit="1" customWidth="1"/>
    <col min="16126" max="16126" width="30.28515625" style="81" bestFit="1" customWidth="1"/>
    <col min="16127" max="16127" width="16.5703125" style="81" bestFit="1" customWidth="1"/>
    <col min="16128" max="16128" width="17.42578125" style="81" customWidth="1"/>
    <col min="16129" max="16129" width="20.140625" style="81" customWidth="1"/>
    <col min="16130" max="16130" width="23.5703125" style="81" customWidth="1"/>
    <col min="16131" max="16131" width="16.7109375" style="81" customWidth="1"/>
    <col min="16132" max="16133" width="11.42578125" style="81" customWidth="1"/>
    <col min="16134" max="16134" width="13.5703125" style="81" customWidth="1"/>
    <col min="16135" max="16384" width="11.42578125" style="81"/>
  </cols>
  <sheetData>
    <row r="1" spans="1:7" ht="20.25" thickBot="1">
      <c r="A1" s="321"/>
      <c r="B1" s="322"/>
      <c r="C1" s="323"/>
      <c r="D1" s="324"/>
      <c r="E1" s="325"/>
      <c r="F1" s="326"/>
      <c r="G1" s="327"/>
    </row>
    <row r="2" spans="1:7" ht="19.5">
      <c r="A2" s="321"/>
      <c r="B2" s="322"/>
      <c r="C2" s="323"/>
      <c r="D2" s="324"/>
      <c r="E2" s="325"/>
      <c r="F2" s="326"/>
      <c r="G2" s="327"/>
    </row>
    <row r="3" spans="1:7" ht="19.5">
      <c r="A3" s="328"/>
      <c r="B3" s="329"/>
      <c r="C3" s="330"/>
      <c r="D3" s="331"/>
      <c r="E3" s="332"/>
      <c r="F3" s="333"/>
      <c r="G3" s="334"/>
    </row>
    <row r="4" spans="1:7" ht="19.5">
      <c r="A4" s="328"/>
      <c r="B4" s="329"/>
      <c r="C4" s="330"/>
      <c r="D4" s="331"/>
      <c r="E4" s="332"/>
      <c r="F4" s="333"/>
      <c r="G4" s="334"/>
    </row>
    <row r="5" spans="1:7" ht="19.5">
      <c r="A5" s="328"/>
      <c r="B5" s="329"/>
      <c r="C5" s="330"/>
      <c r="D5" s="331"/>
      <c r="E5" s="332"/>
      <c r="F5" s="333"/>
      <c r="G5" s="334"/>
    </row>
    <row r="6" spans="1:7" ht="19.5">
      <c r="A6" s="328"/>
      <c r="B6" s="329"/>
      <c r="C6" s="330"/>
      <c r="D6" s="331"/>
      <c r="E6" s="332"/>
      <c r="F6" s="333"/>
      <c r="G6" s="334"/>
    </row>
    <row r="7" spans="1:7" ht="19.5">
      <c r="A7" s="328"/>
      <c r="B7" s="329"/>
      <c r="C7" s="330"/>
      <c r="D7" s="331"/>
      <c r="E7" s="332"/>
      <c r="F7" s="333"/>
      <c r="G7" s="334"/>
    </row>
    <row r="8" spans="1:7" ht="19.5">
      <c r="A8" s="328"/>
      <c r="B8" s="329"/>
      <c r="C8" s="330"/>
      <c r="D8" s="331"/>
      <c r="E8" s="332"/>
      <c r="F8" s="333"/>
      <c r="G8" s="334"/>
    </row>
    <row r="9" spans="1:7" ht="19.5">
      <c r="A9" s="328"/>
      <c r="B9" s="329"/>
      <c r="C9" s="330"/>
      <c r="D9" s="331"/>
      <c r="E9" s="332"/>
      <c r="F9" s="333"/>
      <c r="G9" s="334"/>
    </row>
    <row r="10" spans="1:7" ht="19.5">
      <c r="A10" s="328"/>
      <c r="B10" s="329"/>
      <c r="C10" s="330"/>
      <c r="D10" s="331"/>
      <c r="E10" s="332"/>
      <c r="F10" s="333"/>
      <c r="G10" s="334"/>
    </row>
    <row r="11" spans="1:7" ht="18.75" customHeight="1">
      <c r="A11" s="335"/>
      <c r="B11" s="336"/>
      <c r="C11" s="121"/>
      <c r="D11" s="121"/>
      <c r="E11" s="121"/>
      <c r="F11" s="121"/>
      <c r="G11" s="122"/>
    </row>
    <row r="12" spans="1:7" ht="18.75" customHeight="1">
      <c r="A12" s="347" t="s">
        <v>1985</v>
      </c>
      <c r="B12" s="348"/>
      <c r="C12" s="348"/>
      <c r="D12" s="348"/>
      <c r="E12" s="348"/>
      <c r="F12" s="348"/>
      <c r="G12" s="349"/>
    </row>
    <row r="13" spans="1:7" ht="18.75" customHeight="1">
      <c r="A13" s="341"/>
      <c r="B13" s="342"/>
      <c r="C13" s="350"/>
      <c r="D13" s="350"/>
      <c r="E13" s="350"/>
      <c r="F13" s="350"/>
      <c r="G13" s="351"/>
    </row>
    <row r="14" spans="1:7" ht="19.5" customHeight="1" thickBot="1">
      <c r="A14" s="337" t="s">
        <v>1989</v>
      </c>
      <c r="B14" s="338"/>
      <c r="C14" s="352" t="s">
        <v>1991</v>
      </c>
      <c r="D14" s="352"/>
      <c r="E14" s="352"/>
      <c r="F14" s="352"/>
      <c r="G14" s="353"/>
    </row>
    <row r="15" spans="1:7" ht="19.5" customHeight="1" thickBot="1">
      <c r="A15" s="337" t="s">
        <v>1986</v>
      </c>
      <c r="B15" s="338"/>
      <c r="C15" s="339"/>
      <c r="D15" s="339"/>
      <c r="E15" s="339"/>
      <c r="F15" s="339"/>
      <c r="G15" s="340"/>
    </row>
    <row r="16" spans="1:7" ht="19.5" customHeight="1" thickBot="1">
      <c r="A16" s="341" t="s">
        <v>1987</v>
      </c>
      <c r="B16" s="342"/>
      <c r="C16" s="343" t="s">
        <v>1992</v>
      </c>
      <c r="D16" s="343"/>
      <c r="E16" s="343"/>
      <c r="F16" s="343"/>
      <c r="G16" s="344"/>
    </row>
    <row r="17" spans="1:7" ht="21" customHeight="1" thickBot="1">
      <c r="A17" s="341" t="s">
        <v>1998</v>
      </c>
      <c r="B17" s="342"/>
      <c r="C17" s="345" t="s">
        <v>1988</v>
      </c>
      <c r="D17" s="345"/>
      <c r="E17" s="345"/>
      <c r="F17" s="345"/>
      <c r="G17" s="346"/>
    </row>
    <row r="18" spans="1:7" ht="21" thickBot="1">
      <c r="A18" s="341" t="s">
        <v>1990</v>
      </c>
      <c r="B18" s="342"/>
      <c r="C18" s="357">
        <v>44706</v>
      </c>
      <c r="D18" s="357"/>
      <c r="E18" s="357"/>
      <c r="F18" s="171"/>
      <c r="G18" s="172"/>
    </row>
    <row r="19" spans="1:7" ht="21" thickBot="1">
      <c r="A19" s="173"/>
      <c r="B19" s="174"/>
      <c r="C19" s="175"/>
      <c r="D19" s="174"/>
      <c r="E19" s="174"/>
      <c r="F19" s="174"/>
      <c r="G19" s="120"/>
    </row>
    <row r="20" spans="1:7" s="82" customFormat="1" ht="35.25" customHeight="1" thickBot="1">
      <c r="A20" s="176" t="s">
        <v>0</v>
      </c>
      <c r="B20" s="177" t="s">
        <v>1993</v>
      </c>
      <c r="C20" s="177" t="s">
        <v>2</v>
      </c>
      <c r="D20" s="177" t="s">
        <v>3</v>
      </c>
      <c r="E20" s="177" t="s">
        <v>4</v>
      </c>
      <c r="F20" s="177" t="s">
        <v>5</v>
      </c>
      <c r="G20" s="177" t="s">
        <v>6</v>
      </c>
    </row>
    <row r="21" spans="1:7" ht="21" thickBot="1">
      <c r="A21" s="178">
        <f>1</f>
        <v>1</v>
      </c>
      <c r="B21" s="179" t="s">
        <v>1705</v>
      </c>
      <c r="C21" s="180"/>
      <c r="D21" s="180"/>
      <c r="E21" s="180"/>
      <c r="F21" s="180"/>
      <c r="G21" s="181"/>
    </row>
    <row r="22" spans="1:7" ht="20.25">
      <c r="A22" s="182">
        <f t="shared" ref="A22:A29" si="0">A21+0.01</f>
        <v>1.01</v>
      </c>
      <c r="B22" s="183" t="s">
        <v>8</v>
      </c>
      <c r="C22" s="184">
        <v>857.12000000000012</v>
      </c>
      <c r="D22" s="185" t="s">
        <v>9</v>
      </c>
      <c r="E22" s="186"/>
      <c r="F22" s="187">
        <f t="shared" ref="F22:F29" si="1">C22*E22</f>
        <v>0</v>
      </c>
      <c r="G22" s="188"/>
    </row>
    <row r="23" spans="1:7" ht="20.25">
      <c r="A23" s="189">
        <f t="shared" si="0"/>
        <v>1.02</v>
      </c>
      <c r="B23" s="190" t="s">
        <v>10</v>
      </c>
      <c r="C23" s="191">
        <v>2</v>
      </c>
      <c r="D23" s="192" t="s">
        <v>1706</v>
      </c>
      <c r="E23" s="193"/>
      <c r="F23" s="194">
        <f t="shared" si="1"/>
        <v>0</v>
      </c>
      <c r="G23" s="188"/>
    </row>
    <row r="24" spans="1:7" ht="20.25">
      <c r="A24" s="189">
        <f t="shared" si="0"/>
        <v>1.03</v>
      </c>
      <c r="B24" s="195" t="s">
        <v>1707</v>
      </c>
      <c r="C24" s="191">
        <v>1</v>
      </c>
      <c r="D24" s="192" t="s">
        <v>1708</v>
      </c>
      <c r="E24" s="193"/>
      <c r="F24" s="194">
        <f t="shared" si="1"/>
        <v>0</v>
      </c>
      <c r="G24" s="188"/>
    </row>
    <row r="25" spans="1:7" ht="20.25">
      <c r="A25" s="189">
        <f t="shared" si="0"/>
        <v>1.04</v>
      </c>
      <c r="B25" s="195" t="s">
        <v>1488</v>
      </c>
      <c r="C25" s="191">
        <v>1</v>
      </c>
      <c r="D25" s="192" t="s">
        <v>1708</v>
      </c>
      <c r="E25" s="193"/>
      <c r="F25" s="194">
        <f t="shared" si="1"/>
        <v>0</v>
      </c>
      <c r="G25" s="188"/>
    </row>
    <row r="26" spans="1:7" ht="20.25">
      <c r="A26" s="189">
        <f t="shared" si="0"/>
        <v>1.05</v>
      </c>
      <c r="B26" s="195" t="s">
        <v>1709</v>
      </c>
      <c r="C26" s="191">
        <v>1</v>
      </c>
      <c r="D26" s="192" t="s">
        <v>1708</v>
      </c>
      <c r="E26" s="193"/>
      <c r="F26" s="194">
        <f t="shared" si="1"/>
        <v>0</v>
      </c>
      <c r="G26" s="188"/>
    </row>
    <row r="27" spans="1:7" ht="20.25">
      <c r="A27" s="189">
        <f t="shared" si="0"/>
        <v>1.06</v>
      </c>
      <c r="B27" s="195" t="s">
        <v>1710</v>
      </c>
      <c r="C27" s="191">
        <v>1</v>
      </c>
      <c r="D27" s="192" t="s">
        <v>1708</v>
      </c>
      <c r="E27" s="193"/>
      <c r="F27" s="194">
        <f t="shared" si="1"/>
        <v>0</v>
      </c>
      <c r="G27" s="188"/>
    </row>
    <row r="28" spans="1:7" ht="20.25">
      <c r="A28" s="189">
        <f t="shared" si="0"/>
        <v>1.07</v>
      </c>
      <c r="B28" s="195" t="s">
        <v>1711</v>
      </c>
      <c r="C28" s="191">
        <f>+C22</f>
        <v>857.12000000000012</v>
      </c>
      <c r="D28" s="192" t="s">
        <v>9</v>
      </c>
      <c r="E28" s="193"/>
      <c r="F28" s="194">
        <f t="shared" si="1"/>
        <v>0</v>
      </c>
      <c r="G28" s="188"/>
    </row>
    <row r="29" spans="1:7" ht="20.25">
      <c r="A29" s="189">
        <f t="shared" si="0"/>
        <v>1.08</v>
      </c>
      <c r="B29" s="196" t="s">
        <v>1982</v>
      </c>
      <c r="C29" s="197">
        <v>1</v>
      </c>
      <c r="D29" s="192" t="s">
        <v>1712</v>
      </c>
      <c r="E29" s="193"/>
      <c r="F29" s="194">
        <f t="shared" si="1"/>
        <v>0</v>
      </c>
      <c r="G29" s="188"/>
    </row>
    <row r="30" spans="1:7" ht="21" thickBot="1">
      <c r="A30" s="198"/>
      <c r="B30" s="196"/>
      <c r="C30" s="197"/>
      <c r="D30" s="199"/>
      <c r="E30" s="200"/>
      <c r="F30" s="201"/>
      <c r="G30" s="202">
        <f>SUM(F22:F29)</f>
        <v>0</v>
      </c>
    </row>
    <row r="31" spans="1:7" ht="21" thickBot="1">
      <c r="A31" s="178">
        <v>2</v>
      </c>
      <c r="B31" s="179" t="s">
        <v>1489</v>
      </c>
      <c r="C31" s="180"/>
      <c r="D31" s="180"/>
      <c r="E31" s="180"/>
      <c r="F31" s="180"/>
      <c r="G31" s="181"/>
    </row>
    <row r="32" spans="1:7" ht="20.25">
      <c r="A32" s="182">
        <f>+A31+0.01</f>
        <v>2.0099999999999998</v>
      </c>
      <c r="B32" s="203" t="s">
        <v>1490</v>
      </c>
      <c r="C32" s="204">
        <v>1</v>
      </c>
      <c r="D32" s="185" t="s">
        <v>1712</v>
      </c>
      <c r="E32" s="205"/>
      <c r="F32" s="187">
        <f>+C32*E32</f>
        <v>0</v>
      </c>
      <c r="G32" s="188"/>
    </row>
    <row r="33" spans="1:7" ht="20.25">
      <c r="A33" s="189">
        <f t="shared" ref="A33:A37" si="2">+A32+0.01</f>
        <v>2.0199999999999996</v>
      </c>
      <c r="B33" s="195" t="s">
        <v>1713</v>
      </c>
      <c r="C33" s="206">
        <v>133.11000000000001</v>
      </c>
      <c r="D33" s="192" t="s">
        <v>20</v>
      </c>
      <c r="E33" s="207"/>
      <c r="F33" s="194">
        <f>C33*E33</f>
        <v>0</v>
      </c>
      <c r="G33" s="188"/>
    </row>
    <row r="34" spans="1:7" ht="20.25">
      <c r="A34" s="189">
        <f t="shared" si="2"/>
        <v>2.0299999999999994</v>
      </c>
      <c r="B34" s="195" t="s">
        <v>1714</v>
      </c>
      <c r="C34" s="206">
        <f>38*1*1*1</f>
        <v>38</v>
      </c>
      <c r="D34" s="192" t="s">
        <v>20</v>
      </c>
      <c r="E34" s="193"/>
      <c r="F34" s="194">
        <f>C34*E34</f>
        <v>0</v>
      </c>
      <c r="G34" s="188"/>
    </row>
    <row r="35" spans="1:7" ht="20.25">
      <c r="A35" s="189">
        <f t="shared" si="2"/>
        <v>2.0399999999999991</v>
      </c>
      <c r="B35" s="195" t="s">
        <v>81</v>
      </c>
      <c r="C35" s="206">
        <v>57</v>
      </c>
      <c r="D35" s="192" t="s">
        <v>20</v>
      </c>
      <c r="E35" s="193"/>
      <c r="F35" s="194">
        <f>C35*E35</f>
        <v>0</v>
      </c>
      <c r="G35" s="188"/>
    </row>
    <row r="36" spans="1:7" ht="20.25">
      <c r="A36" s="189">
        <f t="shared" si="2"/>
        <v>2.0499999999999989</v>
      </c>
      <c r="B36" s="195" t="s">
        <v>1715</v>
      </c>
      <c r="C36" s="206">
        <v>45</v>
      </c>
      <c r="D36" s="192" t="s">
        <v>20</v>
      </c>
      <c r="E36" s="193"/>
      <c r="F36" s="194">
        <f>C36*E36</f>
        <v>0</v>
      </c>
      <c r="G36" s="188"/>
    </row>
    <row r="37" spans="1:7" ht="20.25">
      <c r="A37" s="189">
        <f t="shared" si="2"/>
        <v>2.0599999999999987</v>
      </c>
      <c r="B37" s="195" t="s">
        <v>1716</v>
      </c>
      <c r="C37" s="206">
        <f>+C33+C34-C35</f>
        <v>114.11000000000001</v>
      </c>
      <c r="D37" s="192" t="s">
        <v>20</v>
      </c>
      <c r="E37" s="208"/>
      <c r="F37" s="194">
        <f>C37*E37</f>
        <v>0</v>
      </c>
      <c r="G37" s="188"/>
    </row>
    <row r="38" spans="1:7" ht="21" thickBot="1">
      <c r="A38" s="125"/>
      <c r="B38" s="124"/>
      <c r="C38" s="128"/>
      <c r="D38" s="126"/>
      <c r="E38" s="129"/>
      <c r="F38" s="127"/>
      <c r="G38" s="202">
        <f>SUM(F32:F37)</f>
        <v>0</v>
      </c>
    </row>
    <row r="39" spans="1:7" ht="21" thickBot="1">
      <c r="A39" s="178">
        <v>3</v>
      </c>
      <c r="B39" s="179" t="s">
        <v>1999</v>
      </c>
      <c r="C39" s="180"/>
      <c r="D39" s="180"/>
      <c r="E39" s="180"/>
      <c r="F39" s="180"/>
      <c r="G39" s="181"/>
    </row>
    <row r="40" spans="1:7" s="84" customFormat="1" ht="60.75">
      <c r="A40" s="209">
        <f>A39+0.01</f>
        <v>3.01</v>
      </c>
      <c r="B40" s="183" t="s">
        <v>1939</v>
      </c>
      <c r="C40" s="210">
        <v>39.93</v>
      </c>
      <c r="D40" s="185" t="s">
        <v>20</v>
      </c>
      <c r="E40" s="211"/>
      <c r="F40" s="212">
        <f>C40*E40</f>
        <v>0</v>
      </c>
      <c r="G40" s="188"/>
    </row>
    <row r="41" spans="1:7" s="84" customFormat="1" ht="60.75">
      <c r="A41" s="198">
        <f t="shared" ref="A41:A64" si="3">A40+0.01</f>
        <v>3.0199999999999996</v>
      </c>
      <c r="B41" s="190" t="s">
        <v>1940</v>
      </c>
      <c r="C41" s="213">
        <f>36*0.4</f>
        <v>14.4</v>
      </c>
      <c r="D41" s="192" t="s">
        <v>20</v>
      </c>
      <c r="E41" s="214"/>
      <c r="F41" s="215">
        <f t="shared" ref="F41:F64" si="4">C41*E41</f>
        <v>0</v>
      </c>
      <c r="G41" s="188"/>
    </row>
    <row r="42" spans="1:7" s="84" customFormat="1" ht="60.75">
      <c r="A42" s="198">
        <f t="shared" si="3"/>
        <v>3.0299999999999994</v>
      </c>
      <c r="B42" s="216" t="s">
        <v>1980</v>
      </c>
      <c r="C42" s="213">
        <f>2*1.5*1.5*0.4</f>
        <v>1.8</v>
      </c>
      <c r="D42" s="192" t="s">
        <v>20</v>
      </c>
      <c r="E42" s="214"/>
      <c r="F42" s="215">
        <f t="shared" si="4"/>
        <v>0</v>
      </c>
      <c r="G42" s="188"/>
    </row>
    <row r="43" spans="1:7" s="84" customFormat="1" ht="49.5" customHeight="1">
      <c r="A43" s="198">
        <f t="shared" si="3"/>
        <v>3.0399999999999991</v>
      </c>
      <c r="B43" s="216" t="s">
        <v>1941</v>
      </c>
      <c r="C43" s="213">
        <f>38*0.2*0.2*4.5</f>
        <v>6.8400000000000007</v>
      </c>
      <c r="D43" s="192" t="s">
        <v>20</v>
      </c>
      <c r="E43" s="217"/>
      <c r="F43" s="215">
        <f t="shared" si="4"/>
        <v>0</v>
      </c>
      <c r="G43" s="188"/>
    </row>
    <row r="44" spans="1:7" s="84" customFormat="1" ht="51" customHeight="1">
      <c r="A44" s="198">
        <f t="shared" si="3"/>
        <v>3.0499999999999989</v>
      </c>
      <c r="B44" s="216" t="s">
        <v>1981</v>
      </c>
      <c r="C44" s="213">
        <f>2*0.25*0.25*4.5</f>
        <v>0.5625</v>
      </c>
      <c r="D44" s="192" t="s">
        <v>20</v>
      </c>
      <c r="E44" s="217"/>
      <c r="F44" s="215">
        <f t="shared" si="4"/>
        <v>0</v>
      </c>
      <c r="G44" s="188"/>
    </row>
    <row r="45" spans="1:7" s="84" customFormat="1" ht="40.5">
      <c r="A45" s="198">
        <f t="shared" si="3"/>
        <v>3.0599999999999987</v>
      </c>
      <c r="B45" s="190" t="s">
        <v>1942</v>
      </c>
      <c r="C45" s="213">
        <f>memoria!$AC$9</f>
        <v>4.9039999999999999</v>
      </c>
      <c r="D45" s="192" t="s">
        <v>20</v>
      </c>
      <c r="E45" s="217"/>
      <c r="F45" s="215">
        <f t="shared" si="4"/>
        <v>0</v>
      </c>
      <c r="G45" s="188"/>
    </row>
    <row r="46" spans="1:7" s="84" customFormat="1" ht="48.75" customHeight="1">
      <c r="A46" s="198">
        <f t="shared" si="3"/>
        <v>3.0699999999999985</v>
      </c>
      <c r="B46" s="216" t="s">
        <v>1944</v>
      </c>
      <c r="C46" s="213">
        <f>5*0.2*0.4</f>
        <v>0.4</v>
      </c>
      <c r="D46" s="192" t="s">
        <v>20</v>
      </c>
      <c r="E46" s="214"/>
      <c r="F46" s="215">
        <f t="shared" si="4"/>
        <v>0</v>
      </c>
      <c r="G46" s="188"/>
    </row>
    <row r="47" spans="1:7" s="84" customFormat="1" ht="60.75">
      <c r="A47" s="198">
        <f t="shared" si="3"/>
        <v>3.0799999999999983</v>
      </c>
      <c r="B47" s="216" t="s">
        <v>1964</v>
      </c>
      <c r="C47" s="213">
        <f>14.2*0.2*0.4</f>
        <v>1.1359999999999999</v>
      </c>
      <c r="D47" s="192" t="s">
        <v>20</v>
      </c>
      <c r="E47" s="214"/>
      <c r="F47" s="215">
        <f t="shared" si="4"/>
        <v>0</v>
      </c>
      <c r="G47" s="188"/>
    </row>
    <row r="48" spans="1:7" s="84" customFormat="1" ht="40.5">
      <c r="A48" s="198">
        <f t="shared" si="3"/>
        <v>3.0899999999999981</v>
      </c>
      <c r="B48" s="216" t="s">
        <v>1945</v>
      </c>
      <c r="C48" s="213">
        <f>+C46</f>
        <v>0.4</v>
      </c>
      <c r="D48" s="192" t="s">
        <v>20</v>
      </c>
      <c r="E48" s="217"/>
      <c r="F48" s="215">
        <f t="shared" si="4"/>
        <v>0</v>
      </c>
      <c r="G48" s="188"/>
    </row>
    <row r="49" spans="1:8" s="84" customFormat="1" ht="40.5">
      <c r="A49" s="198">
        <f t="shared" si="3"/>
        <v>3.0999999999999979</v>
      </c>
      <c r="B49" s="216" t="s">
        <v>1946</v>
      </c>
      <c r="C49" s="213">
        <f>+C48</f>
        <v>0.4</v>
      </c>
      <c r="D49" s="192" t="s">
        <v>20</v>
      </c>
      <c r="E49" s="217"/>
      <c r="F49" s="215">
        <f t="shared" si="4"/>
        <v>0</v>
      </c>
      <c r="G49" s="218"/>
    </row>
    <row r="50" spans="1:8" s="84" customFormat="1" ht="60.75">
      <c r="A50" s="198">
        <f t="shared" si="3"/>
        <v>3.1099999999999977</v>
      </c>
      <c r="B50" s="216" t="s">
        <v>1947</v>
      </c>
      <c r="C50" s="213">
        <f>14.2*0.2*0.4</f>
        <v>1.1359999999999999</v>
      </c>
      <c r="D50" s="192" t="s">
        <v>20</v>
      </c>
      <c r="E50" s="214"/>
      <c r="F50" s="215">
        <f t="shared" si="4"/>
        <v>0</v>
      </c>
      <c r="G50" s="188"/>
    </row>
    <row r="51" spans="1:8" s="84" customFormat="1" ht="60.75">
      <c r="A51" s="198">
        <f t="shared" si="3"/>
        <v>3.1199999999999974</v>
      </c>
      <c r="B51" s="216" t="s">
        <v>1963</v>
      </c>
      <c r="C51" s="213">
        <f>18.8*0.2*0.4</f>
        <v>1.5040000000000002</v>
      </c>
      <c r="D51" s="192" t="s">
        <v>20</v>
      </c>
      <c r="E51" s="214"/>
      <c r="F51" s="215">
        <f t="shared" si="4"/>
        <v>0</v>
      </c>
      <c r="G51" s="188"/>
    </row>
    <row r="52" spans="1:8" s="84" customFormat="1" ht="60.75">
      <c r="A52" s="198">
        <f t="shared" si="3"/>
        <v>3.1299999999999972</v>
      </c>
      <c r="B52" s="216" t="s">
        <v>1948</v>
      </c>
      <c r="C52" s="213">
        <f>9.8*0.2*0.4</f>
        <v>0.78400000000000014</v>
      </c>
      <c r="D52" s="192" t="s">
        <v>20</v>
      </c>
      <c r="E52" s="214"/>
      <c r="F52" s="215">
        <f t="shared" si="4"/>
        <v>0</v>
      </c>
      <c r="G52" s="188"/>
    </row>
    <row r="53" spans="1:8" s="84" customFormat="1" ht="60.75">
      <c r="A53" s="198">
        <f t="shared" si="3"/>
        <v>3.139999999999997</v>
      </c>
      <c r="B53" s="216" t="s">
        <v>1949</v>
      </c>
      <c r="C53" s="213">
        <f>9.8*0.2*0.4</f>
        <v>0.78400000000000014</v>
      </c>
      <c r="D53" s="192" t="s">
        <v>20</v>
      </c>
      <c r="E53" s="214"/>
      <c r="F53" s="215">
        <f t="shared" si="4"/>
        <v>0</v>
      </c>
      <c r="G53" s="188"/>
    </row>
    <row r="54" spans="1:8" s="84" customFormat="1" ht="40.5">
      <c r="A54" s="198">
        <f t="shared" si="3"/>
        <v>3.1499999999999968</v>
      </c>
      <c r="B54" s="216" t="s">
        <v>1950</v>
      </c>
      <c r="C54" s="213">
        <f t="shared" ref="C54:C55" si="5">5*0.2*0.4</f>
        <v>0.4</v>
      </c>
      <c r="D54" s="192" t="s">
        <v>20</v>
      </c>
      <c r="E54" s="214"/>
      <c r="F54" s="215">
        <f t="shared" si="4"/>
        <v>0</v>
      </c>
      <c r="G54" s="188"/>
    </row>
    <row r="55" spans="1:8" s="84" customFormat="1" ht="40.5">
      <c r="A55" s="198">
        <f t="shared" si="3"/>
        <v>3.1599999999999966</v>
      </c>
      <c r="B55" s="216" t="s">
        <v>1951</v>
      </c>
      <c r="C55" s="213">
        <f t="shared" si="5"/>
        <v>0.4</v>
      </c>
      <c r="D55" s="192" t="s">
        <v>20</v>
      </c>
      <c r="E55" s="214"/>
      <c r="F55" s="215">
        <f t="shared" si="4"/>
        <v>0</v>
      </c>
      <c r="G55" s="188"/>
    </row>
    <row r="56" spans="1:8" s="84" customFormat="1" ht="60.75">
      <c r="A56" s="198">
        <f t="shared" si="3"/>
        <v>3.1699999999999964</v>
      </c>
      <c r="B56" s="216" t="s">
        <v>1965</v>
      </c>
      <c r="C56" s="213">
        <f>18.8*0.2*0.4</f>
        <v>1.5040000000000002</v>
      </c>
      <c r="D56" s="192" t="s">
        <v>20</v>
      </c>
      <c r="E56" s="214"/>
      <c r="F56" s="215">
        <f t="shared" si="4"/>
        <v>0</v>
      </c>
      <c r="G56" s="188"/>
    </row>
    <row r="57" spans="1:8" s="84" customFormat="1" ht="60.75">
      <c r="A57" s="198">
        <f t="shared" si="3"/>
        <v>3.1799999999999962</v>
      </c>
      <c r="B57" s="216" t="s">
        <v>1966</v>
      </c>
      <c r="C57" s="213">
        <f>13.8*0.2*0.4</f>
        <v>1.1040000000000001</v>
      </c>
      <c r="D57" s="192" t="s">
        <v>20</v>
      </c>
      <c r="E57" s="214"/>
      <c r="F57" s="215">
        <f t="shared" si="4"/>
        <v>0</v>
      </c>
      <c r="G57" s="188"/>
      <c r="H57" s="84" t="s">
        <v>1704</v>
      </c>
    </row>
    <row r="58" spans="1:8" s="84" customFormat="1" ht="60.75">
      <c r="A58" s="198">
        <f t="shared" si="3"/>
        <v>3.1899999999999959</v>
      </c>
      <c r="B58" s="216" t="s">
        <v>1967</v>
      </c>
      <c r="C58" s="213">
        <f>13.8*0.2*0.4</f>
        <v>1.1040000000000001</v>
      </c>
      <c r="D58" s="192" t="s">
        <v>20</v>
      </c>
      <c r="E58" s="214"/>
      <c r="F58" s="215">
        <f t="shared" si="4"/>
        <v>0</v>
      </c>
      <c r="G58" s="188"/>
      <c r="H58" s="84" t="s">
        <v>1704</v>
      </c>
    </row>
    <row r="59" spans="1:8" s="84" customFormat="1" ht="40.5">
      <c r="A59" s="198">
        <f t="shared" si="3"/>
        <v>3.1999999999999957</v>
      </c>
      <c r="B59" s="216" t="s">
        <v>1952</v>
      </c>
      <c r="C59" s="213">
        <f t="shared" ref="C59:C60" si="6">5*0.2*0.4</f>
        <v>0.4</v>
      </c>
      <c r="D59" s="192" t="s">
        <v>20</v>
      </c>
      <c r="E59" s="214"/>
      <c r="F59" s="215">
        <f t="shared" si="4"/>
        <v>0</v>
      </c>
      <c r="G59" s="188"/>
    </row>
    <row r="60" spans="1:8" s="84" customFormat="1" ht="40.5">
      <c r="A60" s="198">
        <f t="shared" si="3"/>
        <v>3.2099999999999955</v>
      </c>
      <c r="B60" s="216" t="s">
        <v>1953</v>
      </c>
      <c r="C60" s="213">
        <f t="shared" si="6"/>
        <v>0.4</v>
      </c>
      <c r="D60" s="192" t="s">
        <v>20</v>
      </c>
      <c r="E60" s="214"/>
      <c r="F60" s="215">
        <f t="shared" si="4"/>
        <v>0</v>
      </c>
      <c r="G60" s="188"/>
    </row>
    <row r="61" spans="1:8" s="84" customFormat="1" ht="40.5">
      <c r="A61" s="198">
        <f>A60+0.01</f>
        <v>3.2199999999999953</v>
      </c>
      <c r="B61" s="190" t="s">
        <v>1943</v>
      </c>
      <c r="C61" s="213">
        <f>memoria!$K$9</f>
        <v>8.8740000000000006</v>
      </c>
      <c r="D61" s="192" t="s">
        <v>20</v>
      </c>
      <c r="E61" s="217"/>
      <c r="F61" s="215">
        <f t="shared" si="4"/>
        <v>0</v>
      </c>
      <c r="G61" s="218"/>
    </row>
    <row r="62" spans="1:8" s="84" customFormat="1" ht="40.5">
      <c r="A62" s="198">
        <f t="shared" si="3"/>
        <v>3.2299999999999951</v>
      </c>
      <c r="B62" s="190" t="s">
        <v>1954</v>
      </c>
      <c r="C62" s="213">
        <f>+C61</f>
        <v>8.8740000000000006</v>
      </c>
      <c r="D62" s="192" t="s">
        <v>20</v>
      </c>
      <c r="E62" s="217"/>
      <c r="F62" s="215">
        <f t="shared" si="4"/>
        <v>0</v>
      </c>
      <c r="G62" s="218"/>
    </row>
    <row r="63" spans="1:8" s="84" customFormat="1" ht="20.25">
      <c r="A63" s="198">
        <f t="shared" si="3"/>
        <v>3.2399999999999949</v>
      </c>
      <c r="B63" s="216" t="s">
        <v>1975</v>
      </c>
      <c r="C63" s="213">
        <v>74.063500000000005</v>
      </c>
      <c r="D63" s="192" t="s">
        <v>20</v>
      </c>
      <c r="E63" s="217"/>
      <c r="F63" s="215">
        <f t="shared" si="4"/>
        <v>0</v>
      </c>
      <c r="G63" s="218"/>
    </row>
    <row r="64" spans="1:8" s="84" customFormat="1" ht="20.25">
      <c r="A64" s="198">
        <f t="shared" si="3"/>
        <v>3.2499999999999947</v>
      </c>
      <c r="B64" s="216" t="s">
        <v>1958</v>
      </c>
      <c r="C64" s="213">
        <f>4.8*1.4*0.12</f>
        <v>0.80639999999999989</v>
      </c>
      <c r="D64" s="192" t="s">
        <v>20</v>
      </c>
      <c r="E64" s="217"/>
      <c r="F64" s="215">
        <f t="shared" si="4"/>
        <v>0</v>
      </c>
      <c r="G64" s="218"/>
    </row>
    <row r="65" spans="1:7" ht="21" thickBot="1">
      <c r="A65" s="125"/>
      <c r="B65" s="131"/>
      <c r="C65" s="132"/>
      <c r="D65" s="126"/>
      <c r="E65" s="133"/>
      <c r="F65" s="127"/>
      <c r="G65" s="219">
        <f>SUM(F40:F64)</f>
        <v>0</v>
      </c>
    </row>
    <row r="66" spans="1:7" ht="21" thickBot="1">
      <c r="A66" s="178">
        <v>4</v>
      </c>
      <c r="B66" s="179" t="s">
        <v>22</v>
      </c>
      <c r="C66" s="180"/>
      <c r="D66" s="180"/>
      <c r="E66" s="180"/>
      <c r="F66" s="180"/>
      <c r="G66" s="181"/>
    </row>
    <row r="67" spans="1:7" ht="40.5">
      <c r="A67" s="209">
        <f>+A66+0.01</f>
        <v>4.01</v>
      </c>
      <c r="B67" s="220" t="s">
        <v>1955</v>
      </c>
      <c r="C67" s="210">
        <f>memoria!$P$9</f>
        <v>88.740000000000009</v>
      </c>
      <c r="D67" s="221" t="s">
        <v>9</v>
      </c>
      <c r="E67" s="211"/>
      <c r="F67" s="212">
        <f>C67*E67</f>
        <v>0</v>
      </c>
      <c r="G67" s="218"/>
    </row>
    <row r="68" spans="1:7" ht="20.25">
      <c r="A68" s="198">
        <f>A67+0.01</f>
        <v>4.0199999999999996</v>
      </c>
      <c r="B68" s="216" t="s">
        <v>1956</v>
      </c>
      <c r="C68" s="213">
        <f>memoria!$R$13</f>
        <v>749.21</v>
      </c>
      <c r="D68" s="222" t="s">
        <v>9</v>
      </c>
      <c r="E68" s="217"/>
      <c r="F68" s="215">
        <f>C68*E68</f>
        <v>0</v>
      </c>
      <c r="G68" s="218"/>
    </row>
    <row r="69" spans="1:7" ht="20.25">
      <c r="A69" s="198">
        <f>A68+0.01</f>
        <v>4.0299999999999994</v>
      </c>
      <c r="B69" s="216" t="s">
        <v>1920</v>
      </c>
      <c r="C69" s="213">
        <f>memoria!$W$9</f>
        <v>17.479999999999997</v>
      </c>
      <c r="D69" s="222" t="s">
        <v>9</v>
      </c>
      <c r="E69" s="217"/>
      <c r="F69" s="215">
        <f>C69*E69</f>
        <v>0</v>
      </c>
      <c r="G69" s="218"/>
    </row>
    <row r="70" spans="1:7" ht="21" thickBot="1">
      <c r="A70" s="125"/>
      <c r="B70" s="135"/>
      <c r="C70" s="132"/>
      <c r="D70" s="134"/>
      <c r="E70" s="133"/>
      <c r="F70" s="127"/>
      <c r="G70" s="219">
        <f>SUM(F67:F69)</f>
        <v>0</v>
      </c>
    </row>
    <row r="71" spans="1:7" ht="21" thickBot="1">
      <c r="A71" s="178">
        <v>5</v>
      </c>
      <c r="B71" s="179" t="s">
        <v>2000</v>
      </c>
      <c r="C71" s="180"/>
      <c r="D71" s="180"/>
      <c r="E71" s="180"/>
      <c r="F71" s="180"/>
      <c r="G71" s="181"/>
    </row>
    <row r="72" spans="1:7" ht="20.25">
      <c r="A72" s="209">
        <f t="shared" ref="A72:A80" si="7">SUM(A71,0.01)</f>
        <v>5.01</v>
      </c>
      <c r="B72" s="220" t="s">
        <v>1719</v>
      </c>
      <c r="C72" s="210">
        <f>+C68*2+C69*2</f>
        <v>1533.38</v>
      </c>
      <c r="D72" s="221" t="s">
        <v>9</v>
      </c>
      <c r="E72" s="211"/>
      <c r="F72" s="212">
        <f t="shared" ref="F72:F80" si="8">C72*E72</f>
        <v>0</v>
      </c>
      <c r="G72" s="223"/>
    </row>
    <row r="73" spans="1:7" ht="20.25">
      <c r="A73" s="198">
        <f t="shared" si="7"/>
        <v>5.0199999999999996</v>
      </c>
      <c r="B73" s="216" t="s">
        <v>1720</v>
      </c>
      <c r="C73" s="213">
        <f>+memoria!H11+memoria!Z11</f>
        <v>116.32500000000002</v>
      </c>
      <c r="D73" s="222" t="s">
        <v>9</v>
      </c>
      <c r="E73" s="217"/>
      <c r="F73" s="215">
        <f t="shared" si="8"/>
        <v>0</v>
      </c>
      <c r="G73" s="223"/>
    </row>
    <row r="74" spans="1:7" ht="20.25">
      <c r="A74" s="198">
        <f t="shared" si="7"/>
        <v>5.0299999999999994</v>
      </c>
      <c r="B74" s="216" t="s">
        <v>1721</v>
      </c>
      <c r="C74" s="213">
        <f>+C63/0.12</f>
        <v>617.19583333333344</v>
      </c>
      <c r="D74" s="222" t="s">
        <v>9</v>
      </c>
      <c r="E74" s="217"/>
      <c r="F74" s="215">
        <f t="shared" si="8"/>
        <v>0</v>
      </c>
      <c r="G74" s="223"/>
    </row>
    <row r="75" spans="1:7" ht="20.25">
      <c r="A75" s="198">
        <f t="shared" si="7"/>
        <v>5.0399999999999991</v>
      </c>
      <c r="B75" s="216" t="s">
        <v>82</v>
      </c>
      <c r="C75" s="213">
        <f>+C73+C74</f>
        <v>733.52083333333348</v>
      </c>
      <c r="D75" s="222" t="s">
        <v>9</v>
      </c>
      <c r="E75" s="217"/>
      <c r="F75" s="215">
        <f t="shared" si="8"/>
        <v>0</v>
      </c>
      <c r="G75" s="223"/>
    </row>
    <row r="76" spans="1:7" ht="20.25">
      <c r="A76" s="198">
        <f t="shared" si="7"/>
        <v>5.0499999999999989</v>
      </c>
      <c r="B76" s="216" t="s">
        <v>1722</v>
      </c>
      <c r="C76" s="213">
        <f>memoria!$AM$13</f>
        <v>260</v>
      </c>
      <c r="D76" s="222" t="s">
        <v>14</v>
      </c>
      <c r="E76" s="217"/>
      <c r="F76" s="215">
        <f t="shared" si="8"/>
        <v>0</v>
      </c>
      <c r="G76" s="223"/>
    </row>
    <row r="77" spans="1:7" ht="20.25">
      <c r="A77" s="198">
        <f t="shared" si="7"/>
        <v>5.0599999999999987</v>
      </c>
      <c r="B77" s="216" t="s">
        <v>64</v>
      </c>
      <c r="C77" s="213">
        <f>memoria!$AT$13</f>
        <v>130</v>
      </c>
      <c r="D77" s="222" t="s">
        <v>14</v>
      </c>
      <c r="E77" s="224"/>
      <c r="F77" s="215">
        <f t="shared" si="8"/>
        <v>0</v>
      </c>
      <c r="G77" s="223"/>
    </row>
    <row r="78" spans="1:7" ht="20.25">
      <c r="A78" s="198">
        <f t="shared" si="7"/>
        <v>5.0699999999999985</v>
      </c>
      <c r="B78" s="216" t="s">
        <v>1723</v>
      </c>
      <c r="C78" s="213">
        <v>87</v>
      </c>
      <c r="D78" s="222" t="s">
        <v>14</v>
      </c>
      <c r="E78" s="214"/>
      <c r="F78" s="215">
        <f t="shared" si="8"/>
        <v>0</v>
      </c>
      <c r="G78" s="225"/>
    </row>
    <row r="79" spans="1:7" ht="20.25">
      <c r="A79" s="198">
        <f t="shared" si="7"/>
        <v>5.0799999999999983</v>
      </c>
      <c r="B79" s="216" t="s">
        <v>1724</v>
      </c>
      <c r="C79" s="213">
        <v>14</v>
      </c>
      <c r="D79" s="222" t="s">
        <v>9</v>
      </c>
      <c r="E79" s="214"/>
      <c r="F79" s="215">
        <f t="shared" si="8"/>
        <v>0</v>
      </c>
      <c r="G79" s="225"/>
    </row>
    <row r="80" spans="1:7" ht="20.25">
      <c r="A80" s="198">
        <f t="shared" si="7"/>
        <v>5.0899999999999981</v>
      </c>
      <c r="B80" s="216" t="s">
        <v>1526</v>
      </c>
      <c r="C80" s="213">
        <v>1</v>
      </c>
      <c r="D80" s="222" t="s">
        <v>56</v>
      </c>
      <c r="E80" s="217"/>
      <c r="F80" s="215">
        <f t="shared" si="8"/>
        <v>0</v>
      </c>
      <c r="G80" s="218"/>
    </row>
    <row r="81" spans="1:7" ht="21" thickBot="1">
      <c r="A81" s="125"/>
      <c r="B81" s="135"/>
      <c r="C81" s="132"/>
      <c r="D81" s="134"/>
      <c r="E81" s="133"/>
      <c r="F81" s="127"/>
      <c r="G81" s="219">
        <f>SUM(F72:F80)</f>
        <v>0</v>
      </c>
    </row>
    <row r="82" spans="1:7" ht="21" thickBot="1">
      <c r="A82" s="178">
        <v>6</v>
      </c>
      <c r="B82" s="179" t="s">
        <v>2001</v>
      </c>
      <c r="C82" s="180"/>
      <c r="D82" s="180"/>
      <c r="E82" s="180"/>
      <c r="F82" s="180"/>
      <c r="G82" s="181"/>
    </row>
    <row r="83" spans="1:7" ht="40.5">
      <c r="A83" s="182">
        <f>+A82+0.01</f>
        <v>6.01</v>
      </c>
      <c r="B83" s="183" t="s">
        <v>1725</v>
      </c>
      <c r="C83" s="210">
        <f>+C74</f>
        <v>617.19583333333344</v>
      </c>
      <c r="D83" s="221" t="s">
        <v>9</v>
      </c>
      <c r="E83" s="211"/>
      <c r="F83" s="212">
        <f>C83*E83</f>
        <v>0</v>
      </c>
      <c r="G83" s="218"/>
    </row>
    <row r="84" spans="1:7" ht="20.25">
      <c r="A84" s="189">
        <f t="shared" ref="A84:A91" si="9">+A83+0.01</f>
        <v>6.02</v>
      </c>
      <c r="B84" s="216" t="s">
        <v>1726</v>
      </c>
      <c r="C84" s="213">
        <f>+C83-C86-C89</f>
        <v>561.27083333333348</v>
      </c>
      <c r="D84" s="222" t="s">
        <v>9</v>
      </c>
      <c r="E84" s="217"/>
      <c r="F84" s="215">
        <f>C84*E84</f>
        <v>0</v>
      </c>
      <c r="G84" s="218"/>
    </row>
    <row r="85" spans="1:7" ht="20.25">
      <c r="A85" s="189">
        <f t="shared" si="9"/>
        <v>6.0299999999999994</v>
      </c>
      <c r="B85" s="216" t="s">
        <v>1727</v>
      </c>
      <c r="C85" s="213">
        <f>6.5*1.8</f>
        <v>11.700000000000001</v>
      </c>
      <c r="D85" s="222" t="s">
        <v>9</v>
      </c>
      <c r="E85" s="217"/>
      <c r="F85" s="215">
        <f t="shared" ref="F85:F91" si="10">C85*E85</f>
        <v>0</v>
      </c>
      <c r="G85" s="218"/>
    </row>
    <row r="86" spans="1:7" ht="20.25">
      <c r="A86" s="189">
        <f t="shared" si="9"/>
        <v>6.0399999999999991</v>
      </c>
      <c r="B86" s="216" t="s">
        <v>1728</v>
      </c>
      <c r="C86" s="213">
        <f>memoria!$AZ$13</f>
        <v>41.924999999999997</v>
      </c>
      <c r="D86" s="222" t="s">
        <v>9</v>
      </c>
      <c r="E86" s="217"/>
      <c r="F86" s="215">
        <f t="shared" si="10"/>
        <v>0</v>
      </c>
      <c r="G86" s="218"/>
    </row>
    <row r="87" spans="1:7" ht="20.25">
      <c r="A87" s="189">
        <f t="shared" si="9"/>
        <v>6.0499999999999989</v>
      </c>
      <c r="B87" s="216" t="s">
        <v>1729</v>
      </c>
      <c r="C87" s="213">
        <f>memoria!$BC$17</f>
        <v>242.79999999999998</v>
      </c>
      <c r="D87" s="222" t="s">
        <v>78</v>
      </c>
      <c r="E87" s="217"/>
      <c r="F87" s="215">
        <f t="shared" si="10"/>
        <v>0</v>
      </c>
      <c r="G87" s="218"/>
    </row>
    <row r="88" spans="1:7" ht="20.25">
      <c r="A88" s="189">
        <f t="shared" si="9"/>
        <v>6.0599999999999987</v>
      </c>
      <c r="B88" s="216" t="s">
        <v>1730</v>
      </c>
      <c r="C88" s="213">
        <v>1</v>
      </c>
      <c r="D88" s="222" t="s">
        <v>78</v>
      </c>
      <c r="E88" s="217"/>
      <c r="F88" s="215">
        <f t="shared" si="10"/>
        <v>0</v>
      </c>
      <c r="G88" s="218"/>
    </row>
    <row r="89" spans="1:7" ht="20.25">
      <c r="A89" s="189">
        <f t="shared" si="9"/>
        <v>6.0699999999999985</v>
      </c>
      <c r="B89" s="216" t="s">
        <v>1731</v>
      </c>
      <c r="C89" s="213">
        <v>14</v>
      </c>
      <c r="D89" s="222" t="s">
        <v>21</v>
      </c>
      <c r="E89" s="217"/>
      <c r="F89" s="215">
        <f t="shared" si="10"/>
        <v>0</v>
      </c>
      <c r="G89" s="218"/>
    </row>
    <row r="90" spans="1:7" ht="20.25">
      <c r="A90" s="189">
        <f t="shared" si="9"/>
        <v>6.0799999999999983</v>
      </c>
      <c r="B90" s="216" t="s">
        <v>1732</v>
      </c>
      <c r="C90" s="213">
        <v>14</v>
      </c>
      <c r="D90" s="222" t="s">
        <v>21</v>
      </c>
      <c r="E90" s="217"/>
      <c r="F90" s="215">
        <f t="shared" si="10"/>
        <v>0</v>
      </c>
      <c r="G90" s="218"/>
    </row>
    <row r="91" spans="1:7" ht="20.25">
      <c r="A91" s="189">
        <f t="shared" si="9"/>
        <v>6.0899999999999981</v>
      </c>
      <c r="B91" s="216" t="s">
        <v>1959</v>
      </c>
      <c r="C91" s="213">
        <f>18*1.4</f>
        <v>25.2</v>
      </c>
      <c r="D91" s="222" t="s">
        <v>43</v>
      </c>
      <c r="E91" s="217"/>
      <c r="F91" s="215">
        <f t="shared" si="10"/>
        <v>0</v>
      </c>
      <c r="G91" s="218"/>
    </row>
    <row r="92" spans="1:7" ht="21" thickBot="1">
      <c r="A92" s="125"/>
      <c r="B92" s="135"/>
      <c r="C92" s="132"/>
      <c r="D92" s="134"/>
      <c r="E92" s="133"/>
      <c r="F92" s="127"/>
      <c r="G92" s="219">
        <f>SUM(F83:F91)</f>
        <v>0</v>
      </c>
    </row>
    <row r="93" spans="1:7" ht="21" thickBot="1">
      <c r="A93" s="178">
        <v>7</v>
      </c>
      <c r="B93" s="179" t="s">
        <v>1733</v>
      </c>
      <c r="C93" s="180"/>
      <c r="D93" s="180"/>
      <c r="E93" s="180"/>
      <c r="F93" s="180"/>
      <c r="G93" s="181"/>
    </row>
    <row r="94" spans="1:7" ht="40.5">
      <c r="A94" s="182">
        <f>+A93+0.01</f>
        <v>7.01</v>
      </c>
      <c r="B94" s="183" t="s">
        <v>1734</v>
      </c>
      <c r="C94" s="210">
        <f>memoria!$BA$18</f>
        <v>120.95999999999998</v>
      </c>
      <c r="D94" s="226" t="s">
        <v>9</v>
      </c>
      <c r="E94" s="227"/>
      <c r="F94" s="212">
        <f>+C94*E94</f>
        <v>0</v>
      </c>
      <c r="G94" s="225"/>
    </row>
    <row r="95" spans="1:7" ht="20.25">
      <c r="A95" s="189">
        <f>+A94+0.01</f>
        <v>7.02</v>
      </c>
      <c r="B95" s="190" t="s">
        <v>1957</v>
      </c>
      <c r="C95" s="213">
        <v>22.4</v>
      </c>
      <c r="D95" s="228" t="s">
        <v>9</v>
      </c>
      <c r="E95" s="229"/>
      <c r="F95" s="215">
        <f>+C95*E95</f>
        <v>0</v>
      </c>
      <c r="G95" s="225"/>
    </row>
    <row r="96" spans="1:7" ht="21" thickBot="1">
      <c r="A96" s="125"/>
      <c r="B96" s="135"/>
      <c r="C96" s="132"/>
      <c r="D96" s="139"/>
      <c r="E96" s="140"/>
      <c r="F96" s="127"/>
      <c r="G96" s="219">
        <f>SUM(F94:F95)</f>
        <v>0</v>
      </c>
    </row>
    <row r="97" spans="1:11" ht="21" thickBot="1">
      <c r="A97" s="178">
        <v>8</v>
      </c>
      <c r="B97" s="179" t="s">
        <v>2002</v>
      </c>
      <c r="C97" s="180"/>
      <c r="D97" s="180"/>
      <c r="E97" s="180"/>
      <c r="F97" s="180"/>
      <c r="G97" s="181"/>
    </row>
    <row r="98" spans="1:11" ht="20.25">
      <c r="A98" s="209">
        <f>SUM(A97,0.01)</f>
        <v>8.01</v>
      </c>
      <c r="B98" s="220" t="s">
        <v>1735</v>
      </c>
      <c r="C98" s="210">
        <f>+memoria!AH8+memoria!AH9+135.9</f>
        <v>176.35500000000002</v>
      </c>
      <c r="D98" s="221" t="s">
        <v>9</v>
      </c>
      <c r="E98" s="211"/>
      <c r="F98" s="212">
        <f>C98*E98</f>
        <v>0</v>
      </c>
      <c r="G98" s="223"/>
    </row>
    <row r="99" spans="1:11" ht="20.25">
      <c r="A99" s="198">
        <f>SUM(A98,0.01)</f>
        <v>8.02</v>
      </c>
      <c r="B99" s="216" t="s">
        <v>1736</v>
      </c>
      <c r="C99" s="213">
        <f>8.5+8.8+3.8+5.4+6+3.2+10.1+8.9+2.9</f>
        <v>57.6</v>
      </c>
      <c r="D99" s="222" t="s">
        <v>14</v>
      </c>
      <c r="E99" s="217"/>
      <c r="F99" s="215">
        <f>C99*E99</f>
        <v>0</v>
      </c>
      <c r="G99" s="223"/>
      <c r="I99" s="96"/>
      <c r="K99" s="96"/>
    </row>
    <row r="100" spans="1:11" ht="20.25">
      <c r="A100" s="198">
        <f>SUM(A99,0.01)</f>
        <v>8.0299999999999994</v>
      </c>
      <c r="B100" s="216" t="s">
        <v>1737</v>
      </c>
      <c r="C100" s="213">
        <f>+C99</f>
        <v>57.6</v>
      </c>
      <c r="D100" s="222" t="s">
        <v>14</v>
      </c>
      <c r="E100" s="217"/>
      <c r="F100" s="215">
        <f>C100*E100</f>
        <v>0</v>
      </c>
      <c r="G100" s="223"/>
    </row>
    <row r="101" spans="1:11" ht="20.25">
      <c r="A101" s="198">
        <f>SUM(A100,0.01)</f>
        <v>8.0399999999999991</v>
      </c>
      <c r="B101" s="216" t="s">
        <v>66</v>
      </c>
      <c r="C101" s="213">
        <f>8*7.4/2+8.9*10.1</f>
        <v>119.49000000000001</v>
      </c>
      <c r="D101" s="222" t="s">
        <v>9</v>
      </c>
      <c r="E101" s="217"/>
      <c r="F101" s="215">
        <f>C101*E101</f>
        <v>0</v>
      </c>
      <c r="G101" s="223"/>
    </row>
    <row r="102" spans="1:11" ht="21" thickBot="1">
      <c r="A102" s="125"/>
      <c r="B102" s="135"/>
      <c r="C102" s="132"/>
      <c r="D102" s="134"/>
      <c r="E102" s="133"/>
      <c r="F102" s="127"/>
      <c r="G102" s="219">
        <f>SUM(F98:F101)</f>
        <v>0</v>
      </c>
      <c r="I102" s="96"/>
    </row>
    <row r="103" spans="1:11" ht="21" thickBot="1">
      <c r="A103" s="178">
        <v>9</v>
      </c>
      <c r="B103" s="179" t="s">
        <v>29</v>
      </c>
      <c r="C103" s="180"/>
      <c r="D103" s="180"/>
      <c r="E103" s="180"/>
      <c r="F103" s="180"/>
      <c r="G103" s="181"/>
    </row>
    <row r="104" spans="1:11" ht="20.25">
      <c r="A104" s="182">
        <f t="shared" ref="A104:A109" si="11">+A103+0.01</f>
        <v>9.01</v>
      </c>
      <c r="B104" s="220" t="s">
        <v>1738</v>
      </c>
      <c r="C104" s="210">
        <f>2.8*2.1*10.76</f>
        <v>63.268799999999999</v>
      </c>
      <c r="D104" s="226" t="s">
        <v>30</v>
      </c>
      <c r="E104" s="227"/>
      <c r="F104" s="212">
        <f t="shared" ref="F104:F109" si="12">+C104*E104</f>
        <v>0</v>
      </c>
      <c r="G104" s="218"/>
    </row>
    <row r="105" spans="1:11" ht="20.25">
      <c r="A105" s="189">
        <f t="shared" si="11"/>
        <v>9.02</v>
      </c>
      <c r="B105" s="216" t="s">
        <v>1929</v>
      </c>
      <c r="C105" s="213">
        <v>4</v>
      </c>
      <c r="D105" s="228" t="s">
        <v>39</v>
      </c>
      <c r="E105" s="229"/>
      <c r="F105" s="215">
        <f t="shared" si="12"/>
        <v>0</v>
      </c>
      <c r="G105" s="218"/>
    </row>
    <row r="106" spans="1:11" ht="20.25">
      <c r="A106" s="189">
        <f t="shared" si="11"/>
        <v>9.0299999999999994</v>
      </c>
      <c r="B106" s="216" t="s">
        <v>1739</v>
      </c>
      <c r="C106" s="213">
        <v>4</v>
      </c>
      <c r="D106" s="228" t="s">
        <v>39</v>
      </c>
      <c r="E106" s="229"/>
      <c r="F106" s="215">
        <f t="shared" si="12"/>
        <v>0</v>
      </c>
      <c r="G106" s="218"/>
    </row>
    <row r="107" spans="1:11" ht="20.25">
      <c r="A107" s="189">
        <f t="shared" si="11"/>
        <v>9.0399999999999991</v>
      </c>
      <c r="B107" s="216" t="s">
        <v>1740</v>
      </c>
      <c r="C107" s="213">
        <v>4</v>
      </c>
      <c r="D107" s="228" t="s">
        <v>39</v>
      </c>
      <c r="E107" s="229"/>
      <c r="F107" s="215">
        <f t="shared" si="12"/>
        <v>0</v>
      </c>
      <c r="G107" s="218"/>
    </row>
    <row r="108" spans="1:11" ht="40.5">
      <c r="A108" s="189">
        <f t="shared" si="11"/>
        <v>9.0499999999999989</v>
      </c>
      <c r="B108" s="216" t="s">
        <v>1930</v>
      </c>
      <c r="C108" s="213">
        <f>6*2.1*10.76</f>
        <v>135.57600000000002</v>
      </c>
      <c r="D108" s="228" t="s">
        <v>30</v>
      </c>
      <c r="E108" s="229"/>
      <c r="F108" s="215">
        <f t="shared" si="12"/>
        <v>0</v>
      </c>
      <c r="G108" s="218"/>
    </row>
    <row r="109" spans="1:11" ht="20.25">
      <c r="A109" s="189">
        <f t="shared" si="11"/>
        <v>9.0599999999999987</v>
      </c>
      <c r="B109" s="216" t="s">
        <v>1932</v>
      </c>
      <c r="C109" s="213">
        <f>7*2.1*10.76</f>
        <v>158.172</v>
      </c>
      <c r="D109" s="228" t="s">
        <v>30</v>
      </c>
      <c r="E109" s="229"/>
      <c r="F109" s="215">
        <f t="shared" si="12"/>
        <v>0</v>
      </c>
      <c r="G109" s="218"/>
    </row>
    <row r="110" spans="1:11" ht="21" thickBot="1">
      <c r="A110" s="125"/>
      <c r="B110" s="135"/>
      <c r="C110" s="142"/>
      <c r="D110" s="139"/>
      <c r="E110" s="143"/>
      <c r="F110" s="127"/>
      <c r="G110" s="219">
        <f>SUM(F104:F109)</f>
        <v>0</v>
      </c>
    </row>
    <row r="111" spans="1:11" ht="21" thickBot="1">
      <c r="A111" s="178">
        <v>10</v>
      </c>
      <c r="B111" s="179" t="s">
        <v>32</v>
      </c>
      <c r="C111" s="180"/>
      <c r="D111" s="180"/>
      <c r="E111" s="180"/>
      <c r="F111" s="180"/>
      <c r="G111" s="181"/>
    </row>
    <row r="112" spans="1:11" ht="40.5">
      <c r="A112" s="182">
        <f>+A111+0.01</f>
        <v>10.01</v>
      </c>
      <c r="B112" s="183" t="s">
        <v>1741</v>
      </c>
      <c r="C112" s="210">
        <f>5*0.9*1.5*10.76+9*2.4*1.5*10.76</f>
        <v>421.25399999999996</v>
      </c>
      <c r="D112" s="221" t="s">
        <v>30</v>
      </c>
      <c r="E112" s="230"/>
      <c r="F112" s="212">
        <f>C112*E112</f>
        <v>0</v>
      </c>
      <c r="G112" s="218"/>
    </row>
    <row r="113" spans="1:7" ht="20.25">
      <c r="A113" s="189">
        <f>+A112+0.01</f>
        <v>10.02</v>
      </c>
      <c r="B113" s="190" t="s">
        <v>1931</v>
      </c>
      <c r="C113" s="213">
        <f>9.5*2.1*10.76-C104</f>
        <v>151.39319999999998</v>
      </c>
      <c r="D113" s="222" t="s">
        <v>30</v>
      </c>
      <c r="E113" s="214"/>
      <c r="F113" s="215">
        <f>C113*E113</f>
        <v>0</v>
      </c>
      <c r="G113" s="218"/>
    </row>
    <row r="114" spans="1:7" ht="40.5">
      <c r="A114" s="189">
        <f>+A113+0.01</f>
        <v>10.029999999999999</v>
      </c>
      <c r="B114" s="190" t="s">
        <v>1742</v>
      </c>
      <c r="C114" s="213">
        <v>43</v>
      </c>
      <c r="D114" s="222" t="s">
        <v>30</v>
      </c>
      <c r="E114" s="214"/>
      <c r="F114" s="215">
        <f>C114*E114</f>
        <v>0</v>
      </c>
      <c r="G114" s="218"/>
    </row>
    <row r="115" spans="1:7" ht="40.5">
      <c r="A115" s="189">
        <f>+A114+0.01</f>
        <v>10.039999999999999</v>
      </c>
      <c r="B115" s="190" t="s">
        <v>1743</v>
      </c>
      <c r="C115" s="213">
        <v>170</v>
      </c>
      <c r="D115" s="222" t="s">
        <v>30</v>
      </c>
      <c r="E115" s="214"/>
      <c r="F115" s="215">
        <f>C115*E115</f>
        <v>0</v>
      </c>
      <c r="G115" s="218"/>
    </row>
    <row r="116" spans="1:7" ht="20.25">
      <c r="A116" s="189">
        <f>+A115+0.01</f>
        <v>10.049999999999999</v>
      </c>
      <c r="B116" s="216" t="s">
        <v>1744</v>
      </c>
      <c r="C116" s="213">
        <f>SUM(C112:C115)</f>
        <v>785.64719999999988</v>
      </c>
      <c r="D116" s="222" t="s">
        <v>30</v>
      </c>
      <c r="E116" s="217"/>
      <c r="F116" s="215">
        <f>C116*E116</f>
        <v>0</v>
      </c>
      <c r="G116" s="218"/>
    </row>
    <row r="117" spans="1:7" ht="21" thickBot="1">
      <c r="A117" s="125"/>
      <c r="B117" s="135"/>
      <c r="C117" s="132"/>
      <c r="D117" s="134"/>
      <c r="E117" s="133"/>
      <c r="F117" s="127"/>
      <c r="G117" s="219">
        <f>SUM(F112:F116)</f>
        <v>0</v>
      </c>
    </row>
    <row r="118" spans="1:7" ht="21" thickBot="1">
      <c r="A118" s="178">
        <v>11</v>
      </c>
      <c r="B118" s="179" t="s">
        <v>1749</v>
      </c>
      <c r="C118" s="180"/>
      <c r="D118" s="180"/>
      <c r="E118" s="180"/>
      <c r="F118" s="180"/>
      <c r="G118" s="181"/>
    </row>
    <row r="119" spans="1:7" ht="20.25">
      <c r="A119" s="209">
        <f>+A118+0.01</f>
        <v>11.01</v>
      </c>
      <c r="B119" s="220" t="s">
        <v>35</v>
      </c>
      <c r="C119" s="210">
        <f>+C120+C121</f>
        <v>2266.9008333333336</v>
      </c>
      <c r="D119" s="226" t="s">
        <v>9</v>
      </c>
      <c r="E119" s="231"/>
      <c r="F119" s="212">
        <f>+C119*E119</f>
        <v>0</v>
      </c>
      <c r="G119" s="218"/>
    </row>
    <row r="120" spans="1:7" ht="20.25">
      <c r="A120" s="198">
        <f>+A119+0.01</f>
        <v>11.02</v>
      </c>
      <c r="B120" s="216" t="s">
        <v>1750</v>
      </c>
      <c r="C120" s="213">
        <f>+C72+C73</f>
        <v>1649.7050000000002</v>
      </c>
      <c r="D120" s="228" t="s">
        <v>9</v>
      </c>
      <c r="E120" s="229"/>
      <c r="F120" s="215">
        <f>+C120*E120</f>
        <v>0</v>
      </c>
      <c r="G120" s="218"/>
    </row>
    <row r="121" spans="1:7" ht="20.25">
      <c r="A121" s="198">
        <f>+A120+0.01</f>
        <v>11.03</v>
      </c>
      <c r="B121" s="216" t="s">
        <v>1751</v>
      </c>
      <c r="C121" s="213">
        <f>+C83:C83</f>
        <v>617.19583333333344</v>
      </c>
      <c r="D121" s="228" t="s">
        <v>9</v>
      </c>
      <c r="E121" s="229"/>
      <c r="F121" s="215">
        <f>+C121*E121</f>
        <v>0</v>
      </c>
      <c r="G121" s="225"/>
    </row>
    <row r="122" spans="1:7" ht="21" thickBot="1">
      <c r="A122" s="125"/>
      <c r="B122" s="135"/>
      <c r="C122" s="142"/>
      <c r="D122" s="139"/>
      <c r="E122" s="143"/>
      <c r="F122" s="127"/>
      <c r="G122" s="219">
        <f>SUM(F119:F121)</f>
        <v>0</v>
      </c>
    </row>
    <row r="123" spans="1:7" ht="21" thickBot="1">
      <c r="A123" s="178">
        <v>12</v>
      </c>
      <c r="B123" s="179" t="s">
        <v>37</v>
      </c>
      <c r="C123" s="180"/>
      <c r="D123" s="180"/>
      <c r="E123" s="180"/>
      <c r="F123" s="180"/>
      <c r="G123" s="181"/>
    </row>
    <row r="124" spans="1:7" ht="40.5">
      <c r="A124" s="182">
        <f>SUM(A123,0.01)</f>
        <v>12.01</v>
      </c>
      <c r="B124" s="183" t="s">
        <v>1752</v>
      </c>
      <c r="C124" s="210">
        <v>8</v>
      </c>
      <c r="D124" s="221" t="s">
        <v>39</v>
      </c>
      <c r="E124" s="211"/>
      <c r="F124" s="212">
        <f>+C124*E124</f>
        <v>0</v>
      </c>
      <c r="G124" s="232"/>
    </row>
    <row r="125" spans="1:7" ht="41.25" customHeight="1">
      <c r="A125" s="189">
        <f>SUM(A124,0.01)</f>
        <v>12.02</v>
      </c>
      <c r="B125" s="190" t="s">
        <v>1753</v>
      </c>
      <c r="C125" s="213">
        <v>8</v>
      </c>
      <c r="D125" s="222" t="s">
        <v>39</v>
      </c>
      <c r="E125" s="217"/>
      <c r="F125" s="215">
        <f t="shared" ref="F125:F140" si="13">+C125*E125</f>
        <v>0</v>
      </c>
      <c r="G125" s="218"/>
    </row>
    <row r="126" spans="1:7" ht="40.5">
      <c r="A126" s="189">
        <f t="shared" ref="A126:A140" si="14">SUM(A125,0.01)</f>
        <v>12.03</v>
      </c>
      <c r="B126" s="190" t="s">
        <v>1754</v>
      </c>
      <c r="C126" s="213">
        <v>1</v>
      </c>
      <c r="D126" s="222" t="s">
        <v>39</v>
      </c>
      <c r="E126" s="214"/>
      <c r="F126" s="215">
        <f t="shared" si="13"/>
        <v>0</v>
      </c>
      <c r="G126" s="218"/>
    </row>
    <row r="127" spans="1:7" ht="20.25">
      <c r="A127" s="189">
        <f t="shared" si="14"/>
        <v>12.04</v>
      </c>
      <c r="B127" s="216" t="s">
        <v>1755</v>
      </c>
      <c r="C127" s="213">
        <v>8</v>
      </c>
      <c r="D127" s="222" t="s">
        <v>1756</v>
      </c>
      <c r="E127" s="217"/>
      <c r="F127" s="215">
        <f t="shared" si="13"/>
        <v>0</v>
      </c>
      <c r="G127" s="218"/>
    </row>
    <row r="128" spans="1:7" ht="20.25">
      <c r="A128" s="189">
        <f t="shared" si="14"/>
        <v>12.049999999999999</v>
      </c>
      <c r="B128" s="216" t="s">
        <v>1757</v>
      </c>
      <c r="C128" s="213">
        <v>3</v>
      </c>
      <c r="D128" s="222" t="s">
        <v>39</v>
      </c>
      <c r="E128" s="217"/>
      <c r="F128" s="215">
        <f>C128*E128</f>
        <v>0</v>
      </c>
      <c r="G128" s="218"/>
    </row>
    <row r="129" spans="1:7" ht="20.25">
      <c r="A129" s="189">
        <f t="shared" si="14"/>
        <v>12.059999999999999</v>
      </c>
      <c r="B129" s="190" t="s">
        <v>1758</v>
      </c>
      <c r="C129" s="213">
        <v>3</v>
      </c>
      <c r="D129" s="222" t="s">
        <v>39</v>
      </c>
      <c r="E129" s="217"/>
      <c r="F129" s="215">
        <f t="shared" si="13"/>
        <v>0</v>
      </c>
      <c r="G129" s="218"/>
    </row>
    <row r="130" spans="1:7" ht="20.25">
      <c r="A130" s="189">
        <f t="shared" si="14"/>
        <v>12.069999999999999</v>
      </c>
      <c r="B130" s="190" t="s">
        <v>1759</v>
      </c>
      <c r="C130" s="213">
        <v>6</v>
      </c>
      <c r="D130" s="222" t="s">
        <v>39</v>
      </c>
      <c r="E130" s="217"/>
      <c r="F130" s="215">
        <f t="shared" si="13"/>
        <v>0</v>
      </c>
      <c r="G130" s="218"/>
    </row>
    <row r="131" spans="1:7" ht="20.25">
      <c r="A131" s="189">
        <f t="shared" si="14"/>
        <v>12.079999999999998</v>
      </c>
      <c r="B131" s="216" t="s">
        <v>1760</v>
      </c>
      <c r="C131" s="213">
        <v>2</v>
      </c>
      <c r="D131" s="222" t="s">
        <v>39</v>
      </c>
      <c r="E131" s="217"/>
      <c r="F131" s="215">
        <f t="shared" si="13"/>
        <v>0</v>
      </c>
      <c r="G131" s="218"/>
    </row>
    <row r="132" spans="1:7" ht="20.25">
      <c r="A132" s="189">
        <f t="shared" si="14"/>
        <v>12.089999999999998</v>
      </c>
      <c r="B132" s="216" t="s">
        <v>1761</v>
      </c>
      <c r="C132" s="213">
        <v>6</v>
      </c>
      <c r="D132" s="222" t="s">
        <v>39</v>
      </c>
      <c r="E132" s="217"/>
      <c r="F132" s="215">
        <f t="shared" si="13"/>
        <v>0</v>
      </c>
      <c r="G132" s="218"/>
    </row>
    <row r="133" spans="1:7" ht="40.5">
      <c r="A133" s="189">
        <f t="shared" si="14"/>
        <v>12.099999999999998</v>
      </c>
      <c r="B133" s="216" t="s">
        <v>1762</v>
      </c>
      <c r="C133" s="213">
        <v>4</v>
      </c>
      <c r="D133" s="222" t="s">
        <v>39</v>
      </c>
      <c r="E133" s="217"/>
      <c r="F133" s="215">
        <f t="shared" si="13"/>
        <v>0</v>
      </c>
      <c r="G133" s="218"/>
    </row>
    <row r="134" spans="1:7" ht="20.25">
      <c r="A134" s="189">
        <f t="shared" si="14"/>
        <v>12.109999999999998</v>
      </c>
      <c r="B134" s="190" t="s">
        <v>44</v>
      </c>
      <c r="C134" s="213">
        <v>70</v>
      </c>
      <c r="D134" s="233" t="s">
        <v>45</v>
      </c>
      <c r="E134" s="234"/>
      <c r="F134" s="235">
        <f t="shared" si="13"/>
        <v>0</v>
      </c>
      <c r="G134" s="218"/>
    </row>
    <row r="135" spans="1:7" ht="40.5">
      <c r="A135" s="189">
        <f t="shared" si="14"/>
        <v>12.119999999999997</v>
      </c>
      <c r="B135" s="190" t="s">
        <v>1763</v>
      </c>
      <c r="C135" s="213">
        <v>1</v>
      </c>
      <c r="D135" s="222" t="s">
        <v>39</v>
      </c>
      <c r="E135" s="217"/>
      <c r="F135" s="215">
        <f t="shared" si="13"/>
        <v>0</v>
      </c>
      <c r="G135" s="218"/>
    </row>
    <row r="136" spans="1:7" ht="40.5">
      <c r="A136" s="189">
        <f t="shared" si="14"/>
        <v>12.129999999999997</v>
      </c>
      <c r="B136" s="190" t="s">
        <v>1765</v>
      </c>
      <c r="C136" s="213">
        <v>1</v>
      </c>
      <c r="D136" s="233" t="s">
        <v>39</v>
      </c>
      <c r="E136" s="234"/>
      <c r="F136" s="235">
        <f t="shared" si="13"/>
        <v>0</v>
      </c>
      <c r="G136" s="218"/>
    </row>
    <row r="137" spans="1:7" ht="81">
      <c r="A137" s="189">
        <f t="shared" si="14"/>
        <v>12.139999999999997</v>
      </c>
      <c r="B137" s="190" t="s">
        <v>1994</v>
      </c>
      <c r="C137" s="213">
        <v>62</v>
      </c>
      <c r="D137" s="233" t="s">
        <v>43</v>
      </c>
      <c r="E137" s="234"/>
      <c r="F137" s="235">
        <f t="shared" si="13"/>
        <v>0</v>
      </c>
      <c r="G137" s="218"/>
    </row>
    <row r="138" spans="1:7" ht="81">
      <c r="A138" s="189">
        <f t="shared" si="14"/>
        <v>12.149999999999997</v>
      </c>
      <c r="B138" s="190" t="s">
        <v>1995</v>
      </c>
      <c r="C138" s="213">
        <v>5</v>
      </c>
      <c r="D138" s="233" t="s">
        <v>43</v>
      </c>
      <c r="E138" s="234"/>
      <c r="F138" s="235">
        <f t="shared" si="13"/>
        <v>0</v>
      </c>
      <c r="G138" s="218"/>
    </row>
    <row r="139" spans="1:7" ht="81">
      <c r="A139" s="189">
        <f t="shared" si="14"/>
        <v>12.159999999999997</v>
      </c>
      <c r="B139" s="190" t="s">
        <v>1996</v>
      </c>
      <c r="C139" s="213">
        <v>15</v>
      </c>
      <c r="D139" s="233" t="s">
        <v>43</v>
      </c>
      <c r="E139" s="234"/>
      <c r="F139" s="235">
        <f t="shared" si="13"/>
        <v>0</v>
      </c>
      <c r="G139" s="218"/>
    </row>
    <row r="140" spans="1:7" ht="40.5">
      <c r="A140" s="189">
        <f t="shared" si="14"/>
        <v>12.169999999999996</v>
      </c>
      <c r="B140" s="190" t="s">
        <v>1997</v>
      </c>
      <c r="C140" s="213">
        <v>50</v>
      </c>
      <c r="D140" s="233" t="s">
        <v>43</v>
      </c>
      <c r="E140" s="234"/>
      <c r="F140" s="235">
        <f t="shared" si="13"/>
        <v>0</v>
      </c>
      <c r="G140" s="218"/>
    </row>
    <row r="141" spans="1:7" ht="21" thickBot="1">
      <c r="A141" s="123"/>
      <c r="B141" s="135"/>
      <c r="C141" s="132"/>
      <c r="D141" s="134"/>
      <c r="E141" s="133"/>
      <c r="F141" s="127"/>
      <c r="G141" s="219">
        <f>SUM(F124:F140)</f>
        <v>0</v>
      </c>
    </row>
    <row r="142" spans="1:7" ht="21" customHeight="1" thickBot="1">
      <c r="A142" s="178">
        <v>13</v>
      </c>
      <c r="B142" s="179" t="s">
        <v>1766</v>
      </c>
      <c r="C142" s="180"/>
      <c r="D142" s="180"/>
      <c r="E142" s="180"/>
      <c r="F142" s="180"/>
      <c r="G142" s="181"/>
    </row>
    <row r="143" spans="1:7" ht="20.25">
      <c r="A143" s="236">
        <f>0.01+A142</f>
        <v>13.01</v>
      </c>
      <c r="B143" s="237" t="s">
        <v>1692</v>
      </c>
      <c r="C143" s="210">
        <v>1</v>
      </c>
      <c r="D143" s="238" t="s">
        <v>56</v>
      </c>
      <c r="E143" s="239"/>
      <c r="F143" s="212">
        <f>+C143*E143</f>
        <v>0</v>
      </c>
      <c r="G143" s="240"/>
    </row>
    <row r="144" spans="1:7" ht="20.25">
      <c r="A144" s="241">
        <f t="shared" ref="A144:A158" si="15">0.01+A143</f>
        <v>13.02</v>
      </c>
      <c r="B144" s="242" t="s">
        <v>48</v>
      </c>
      <c r="C144" s="213">
        <v>12.54</v>
      </c>
      <c r="D144" s="222" t="s">
        <v>20</v>
      </c>
      <c r="E144" s="217"/>
      <c r="F144" s="215">
        <f t="shared" ref="F144:F158" si="16">+C144*E144</f>
        <v>0</v>
      </c>
      <c r="G144" s="240"/>
    </row>
    <row r="145" spans="1:7" ht="20.25">
      <c r="A145" s="241">
        <f t="shared" si="15"/>
        <v>13.03</v>
      </c>
      <c r="B145" s="242" t="s">
        <v>1767</v>
      </c>
      <c r="C145" s="213">
        <v>0.78</v>
      </c>
      <c r="D145" s="222" t="s">
        <v>20</v>
      </c>
      <c r="E145" s="217"/>
      <c r="F145" s="215">
        <f t="shared" si="16"/>
        <v>0</v>
      </c>
      <c r="G145" s="240"/>
    </row>
    <row r="146" spans="1:7" ht="20.25">
      <c r="A146" s="241">
        <f t="shared" si="15"/>
        <v>13.04</v>
      </c>
      <c r="B146" s="242" t="s">
        <v>49</v>
      </c>
      <c r="C146" s="213">
        <v>16.309999999999999</v>
      </c>
      <c r="D146" s="222" t="s">
        <v>20</v>
      </c>
      <c r="E146" s="217"/>
      <c r="F146" s="215">
        <f t="shared" si="16"/>
        <v>0</v>
      </c>
      <c r="G146" s="240"/>
    </row>
    <row r="147" spans="1:7" ht="20.25">
      <c r="A147" s="241">
        <f t="shared" si="15"/>
        <v>13.049999999999999</v>
      </c>
      <c r="B147" s="242" t="s">
        <v>50</v>
      </c>
      <c r="C147" s="213">
        <v>0.39</v>
      </c>
      <c r="D147" s="222" t="s">
        <v>20</v>
      </c>
      <c r="E147" s="217"/>
      <c r="F147" s="215">
        <f t="shared" si="16"/>
        <v>0</v>
      </c>
      <c r="G147" s="240"/>
    </row>
    <row r="148" spans="1:7" ht="40.5">
      <c r="A148" s="241">
        <f t="shared" si="15"/>
        <v>13.059999999999999</v>
      </c>
      <c r="B148" s="242" t="s">
        <v>1768</v>
      </c>
      <c r="C148" s="213">
        <v>1.21</v>
      </c>
      <c r="D148" s="222" t="s">
        <v>20</v>
      </c>
      <c r="E148" s="214"/>
      <c r="F148" s="215">
        <f t="shared" si="16"/>
        <v>0</v>
      </c>
      <c r="G148" s="240"/>
    </row>
    <row r="149" spans="1:7" ht="40.5">
      <c r="A149" s="241">
        <f t="shared" si="15"/>
        <v>13.069999999999999</v>
      </c>
      <c r="B149" s="242" t="s">
        <v>1769</v>
      </c>
      <c r="C149" s="213">
        <v>0.94</v>
      </c>
      <c r="D149" s="222" t="s">
        <v>20</v>
      </c>
      <c r="E149" s="214"/>
      <c r="F149" s="215">
        <f t="shared" si="16"/>
        <v>0</v>
      </c>
      <c r="G149" s="240"/>
    </row>
    <row r="150" spans="1:7" ht="40.5">
      <c r="A150" s="241">
        <f t="shared" si="15"/>
        <v>13.079999999999998</v>
      </c>
      <c r="B150" s="242" t="s">
        <v>51</v>
      </c>
      <c r="C150" s="213">
        <v>34</v>
      </c>
      <c r="D150" s="222" t="s">
        <v>9</v>
      </c>
      <c r="E150" s="217"/>
      <c r="F150" s="215">
        <f t="shared" si="16"/>
        <v>0</v>
      </c>
      <c r="G150" s="240"/>
    </row>
    <row r="151" spans="1:7" ht="20.25">
      <c r="A151" s="241">
        <f t="shared" si="15"/>
        <v>13.089999999999998</v>
      </c>
      <c r="B151" s="242" t="s">
        <v>52</v>
      </c>
      <c r="C151" s="213">
        <f>+C150</f>
        <v>34</v>
      </c>
      <c r="D151" s="222" t="s">
        <v>9</v>
      </c>
      <c r="E151" s="217"/>
      <c r="F151" s="215">
        <f t="shared" si="16"/>
        <v>0</v>
      </c>
      <c r="G151" s="240"/>
    </row>
    <row r="152" spans="1:7" ht="20.25">
      <c r="A152" s="241">
        <f t="shared" si="15"/>
        <v>13.099999999999998</v>
      </c>
      <c r="B152" s="242" t="s">
        <v>53</v>
      </c>
      <c r="C152" s="213">
        <v>8.23</v>
      </c>
      <c r="D152" s="222" t="s">
        <v>9</v>
      </c>
      <c r="E152" s="217"/>
      <c r="F152" s="215">
        <f t="shared" si="16"/>
        <v>0</v>
      </c>
      <c r="G152" s="243"/>
    </row>
    <row r="153" spans="1:7" ht="20.25">
      <c r="A153" s="241">
        <f t="shared" si="15"/>
        <v>13.109999999999998</v>
      </c>
      <c r="B153" s="242" t="s">
        <v>54</v>
      </c>
      <c r="C153" s="213">
        <v>3.43</v>
      </c>
      <c r="D153" s="222" t="s">
        <v>14</v>
      </c>
      <c r="E153" s="217"/>
      <c r="F153" s="215">
        <f t="shared" si="16"/>
        <v>0</v>
      </c>
      <c r="G153" s="243"/>
    </row>
    <row r="154" spans="1:7" ht="20.25">
      <c r="A154" s="241">
        <f t="shared" si="15"/>
        <v>13.119999999999997</v>
      </c>
      <c r="B154" s="242" t="s">
        <v>55</v>
      </c>
      <c r="C154" s="213">
        <v>22.4</v>
      </c>
      <c r="D154" s="222" t="s">
        <v>14</v>
      </c>
      <c r="E154" s="217"/>
      <c r="F154" s="215">
        <f t="shared" si="16"/>
        <v>0</v>
      </c>
      <c r="G154" s="243"/>
    </row>
    <row r="155" spans="1:7" ht="20.25">
      <c r="A155" s="241">
        <f t="shared" si="15"/>
        <v>13.129999999999997</v>
      </c>
      <c r="B155" s="242" t="s">
        <v>57</v>
      </c>
      <c r="C155" s="213">
        <v>1</v>
      </c>
      <c r="D155" s="222" t="s">
        <v>31</v>
      </c>
      <c r="E155" s="217"/>
      <c r="F155" s="215">
        <f t="shared" si="16"/>
        <v>0</v>
      </c>
      <c r="G155" s="240"/>
    </row>
    <row r="156" spans="1:7" ht="40.5">
      <c r="A156" s="241">
        <f t="shared" si="15"/>
        <v>13.139999999999997</v>
      </c>
      <c r="B156" s="242" t="s">
        <v>1770</v>
      </c>
      <c r="C156" s="213">
        <v>1</v>
      </c>
      <c r="D156" s="222" t="s">
        <v>31</v>
      </c>
      <c r="E156" s="217"/>
      <c r="F156" s="215">
        <f t="shared" si="16"/>
        <v>0</v>
      </c>
      <c r="G156" s="240"/>
    </row>
    <row r="157" spans="1:7" ht="20.25">
      <c r="A157" s="241">
        <f t="shared" si="15"/>
        <v>13.149999999999997</v>
      </c>
      <c r="B157" s="242" t="s">
        <v>1771</v>
      </c>
      <c r="C157" s="213">
        <v>1</v>
      </c>
      <c r="D157" s="222" t="s">
        <v>31</v>
      </c>
      <c r="E157" s="217"/>
      <c r="F157" s="215">
        <f t="shared" si="16"/>
        <v>0</v>
      </c>
      <c r="G157" s="240"/>
    </row>
    <row r="158" spans="1:7" ht="20.25">
      <c r="A158" s="241">
        <f t="shared" si="15"/>
        <v>13.159999999999997</v>
      </c>
      <c r="B158" s="242" t="s">
        <v>58</v>
      </c>
      <c r="C158" s="213">
        <v>1</v>
      </c>
      <c r="D158" s="222" t="s">
        <v>12</v>
      </c>
      <c r="E158" s="217"/>
      <c r="F158" s="215">
        <f t="shared" si="16"/>
        <v>0</v>
      </c>
      <c r="G158" s="240"/>
    </row>
    <row r="159" spans="1:7" ht="21" thickBot="1">
      <c r="A159" s="148"/>
      <c r="B159" s="149"/>
      <c r="C159" s="132"/>
      <c r="D159" s="134"/>
      <c r="E159" s="133"/>
      <c r="F159" s="127"/>
      <c r="G159" s="244">
        <f>SUM(F143:F158)</f>
        <v>0</v>
      </c>
    </row>
    <row r="160" spans="1:7" ht="19.5" customHeight="1" thickBot="1">
      <c r="A160" s="178">
        <v>14</v>
      </c>
      <c r="B160" s="179" t="s">
        <v>1772</v>
      </c>
      <c r="C160" s="180"/>
      <c r="D160" s="180"/>
      <c r="E160" s="180"/>
      <c r="F160" s="180"/>
      <c r="G160" s="181"/>
    </row>
    <row r="161" spans="1:7" ht="20.25">
      <c r="A161" s="236">
        <f>0.01+A160</f>
        <v>14.01</v>
      </c>
      <c r="B161" s="183" t="s">
        <v>1773</v>
      </c>
      <c r="C161" s="210">
        <v>1.944</v>
      </c>
      <c r="D161" s="245" t="s">
        <v>20</v>
      </c>
      <c r="E161" s="211"/>
      <c r="F161" s="246">
        <f t="shared" ref="F161:F180" si="17">+C161*E161</f>
        <v>0</v>
      </c>
      <c r="G161" s="247"/>
    </row>
    <row r="162" spans="1:7" ht="20.25">
      <c r="A162" s="241">
        <f t="shared" ref="A162:A180" si="18">0.01+A161</f>
        <v>14.02</v>
      </c>
      <c r="B162" s="190" t="s">
        <v>1774</v>
      </c>
      <c r="C162" s="213">
        <v>1.17</v>
      </c>
      <c r="D162" s="248" t="s">
        <v>20</v>
      </c>
      <c r="E162" s="217"/>
      <c r="F162" s="249">
        <f t="shared" si="17"/>
        <v>0</v>
      </c>
      <c r="G162" s="250"/>
    </row>
    <row r="163" spans="1:7" ht="20.25">
      <c r="A163" s="241">
        <f t="shared" si="18"/>
        <v>14.03</v>
      </c>
      <c r="B163" s="190" t="s">
        <v>59</v>
      </c>
      <c r="C163" s="213">
        <v>1.01</v>
      </c>
      <c r="D163" s="248" t="s">
        <v>20</v>
      </c>
      <c r="E163" s="217"/>
      <c r="F163" s="249">
        <f t="shared" si="17"/>
        <v>0</v>
      </c>
      <c r="G163" s="250"/>
    </row>
    <row r="164" spans="1:7" ht="40.5">
      <c r="A164" s="241">
        <f t="shared" si="18"/>
        <v>14.04</v>
      </c>
      <c r="B164" s="190" t="s">
        <v>1775</v>
      </c>
      <c r="C164" s="213">
        <v>0.64800000000000013</v>
      </c>
      <c r="D164" s="248" t="s">
        <v>20</v>
      </c>
      <c r="E164" s="251"/>
      <c r="F164" s="249">
        <f t="shared" si="17"/>
        <v>0</v>
      </c>
      <c r="G164" s="250"/>
    </row>
    <row r="165" spans="1:7" ht="40.5">
      <c r="A165" s="241">
        <f t="shared" si="18"/>
        <v>14.049999999999999</v>
      </c>
      <c r="B165" s="190" t="s">
        <v>1776</v>
      </c>
      <c r="C165" s="213">
        <v>0.22</v>
      </c>
      <c r="D165" s="233" t="s">
        <v>20</v>
      </c>
      <c r="E165" s="234"/>
      <c r="F165" s="249">
        <f t="shared" si="17"/>
        <v>0</v>
      </c>
      <c r="G165" s="250"/>
    </row>
    <row r="166" spans="1:7" ht="40.5">
      <c r="A166" s="241">
        <f t="shared" si="18"/>
        <v>14.059999999999999</v>
      </c>
      <c r="B166" s="190" t="s">
        <v>1777</v>
      </c>
      <c r="C166" s="213">
        <v>0.31500000000000006</v>
      </c>
      <c r="D166" s="233" t="s">
        <v>20</v>
      </c>
      <c r="E166" s="234"/>
      <c r="F166" s="249">
        <f t="shared" si="17"/>
        <v>0</v>
      </c>
      <c r="G166" s="250"/>
    </row>
    <row r="167" spans="1:7" ht="20.25">
      <c r="A167" s="241">
        <f t="shared" si="18"/>
        <v>14.069999999999999</v>
      </c>
      <c r="B167" s="190" t="s">
        <v>60</v>
      </c>
      <c r="C167" s="213">
        <v>0.13500000000000001</v>
      </c>
      <c r="D167" s="233" t="s">
        <v>20</v>
      </c>
      <c r="E167" s="234"/>
      <c r="F167" s="249">
        <f t="shared" si="17"/>
        <v>0</v>
      </c>
      <c r="G167" s="250"/>
    </row>
    <row r="168" spans="1:7" ht="20.25">
      <c r="A168" s="241">
        <f t="shared" si="18"/>
        <v>14.079999999999998</v>
      </c>
      <c r="B168" s="190" t="s">
        <v>1778</v>
      </c>
      <c r="C168" s="213">
        <v>13</v>
      </c>
      <c r="D168" s="233" t="s">
        <v>9</v>
      </c>
      <c r="E168" s="234"/>
      <c r="F168" s="249">
        <f t="shared" si="17"/>
        <v>0</v>
      </c>
      <c r="G168" s="250"/>
    </row>
    <row r="169" spans="1:7" ht="20.25">
      <c r="A169" s="241">
        <f t="shared" si="18"/>
        <v>14.089999999999998</v>
      </c>
      <c r="B169" s="190" t="s">
        <v>1779</v>
      </c>
      <c r="C169" s="213">
        <v>2.8800000000000003</v>
      </c>
      <c r="D169" s="233" t="s">
        <v>9</v>
      </c>
      <c r="E169" s="234"/>
      <c r="F169" s="249">
        <f t="shared" si="17"/>
        <v>0</v>
      </c>
      <c r="G169" s="250"/>
    </row>
    <row r="170" spans="1:7" ht="20.25">
      <c r="A170" s="241">
        <f t="shared" si="18"/>
        <v>14.099999999999998</v>
      </c>
      <c r="B170" s="190" t="s">
        <v>61</v>
      </c>
      <c r="C170" s="213">
        <v>3.1500000000000004</v>
      </c>
      <c r="D170" s="233" t="s">
        <v>9</v>
      </c>
      <c r="E170" s="234"/>
      <c r="F170" s="249">
        <f t="shared" si="17"/>
        <v>0</v>
      </c>
      <c r="G170" s="250"/>
    </row>
    <row r="171" spans="1:7" ht="20.25">
      <c r="A171" s="241">
        <f t="shared" si="18"/>
        <v>14.109999999999998</v>
      </c>
      <c r="B171" s="190" t="s">
        <v>62</v>
      </c>
      <c r="C171" s="213">
        <v>26</v>
      </c>
      <c r="D171" s="233" t="s">
        <v>9</v>
      </c>
      <c r="E171" s="234"/>
      <c r="F171" s="249">
        <f t="shared" si="17"/>
        <v>0</v>
      </c>
      <c r="G171" s="250"/>
    </row>
    <row r="172" spans="1:7" ht="20.25">
      <c r="A172" s="241">
        <f t="shared" si="18"/>
        <v>14.119999999999997</v>
      </c>
      <c r="B172" s="190" t="s">
        <v>63</v>
      </c>
      <c r="C172" s="213">
        <v>3.1500000000000004</v>
      </c>
      <c r="D172" s="233" t="s">
        <v>9</v>
      </c>
      <c r="E172" s="234"/>
      <c r="F172" s="249">
        <f t="shared" si="17"/>
        <v>0</v>
      </c>
      <c r="G172" s="250"/>
    </row>
    <row r="173" spans="1:7" ht="20.25">
      <c r="A173" s="241">
        <f t="shared" si="18"/>
        <v>14.129999999999997</v>
      </c>
      <c r="B173" s="190" t="s">
        <v>1780</v>
      </c>
      <c r="C173" s="213">
        <v>15.6</v>
      </c>
      <c r="D173" s="233" t="s">
        <v>43</v>
      </c>
      <c r="E173" s="234"/>
      <c r="F173" s="249">
        <f t="shared" si="17"/>
        <v>0</v>
      </c>
      <c r="G173" s="250"/>
    </row>
    <row r="174" spans="1:7" ht="20.25">
      <c r="A174" s="241">
        <f t="shared" si="18"/>
        <v>14.139999999999997</v>
      </c>
      <c r="B174" s="190" t="s">
        <v>65</v>
      </c>
      <c r="C174" s="213">
        <v>3.1500000000000004</v>
      </c>
      <c r="D174" s="233" t="s">
        <v>9</v>
      </c>
      <c r="E174" s="234"/>
      <c r="F174" s="249">
        <f t="shared" si="17"/>
        <v>0</v>
      </c>
      <c r="G174" s="250"/>
    </row>
    <row r="175" spans="1:7" ht="20.25">
      <c r="A175" s="241">
        <f t="shared" si="18"/>
        <v>14.149999999999997</v>
      </c>
      <c r="B175" s="190" t="s">
        <v>66</v>
      </c>
      <c r="C175" s="213">
        <v>3.1500000000000004</v>
      </c>
      <c r="D175" s="233" t="s">
        <v>9</v>
      </c>
      <c r="E175" s="234"/>
      <c r="F175" s="249">
        <f t="shared" si="17"/>
        <v>0</v>
      </c>
      <c r="G175" s="250"/>
    </row>
    <row r="176" spans="1:7" ht="20.25">
      <c r="A176" s="241">
        <f t="shared" si="18"/>
        <v>14.159999999999997</v>
      </c>
      <c r="B176" s="190" t="s">
        <v>68</v>
      </c>
      <c r="C176" s="213">
        <v>29.15</v>
      </c>
      <c r="D176" s="233" t="s">
        <v>9</v>
      </c>
      <c r="E176" s="234"/>
      <c r="F176" s="249">
        <f t="shared" si="17"/>
        <v>0</v>
      </c>
      <c r="G176" s="250"/>
    </row>
    <row r="177" spans="1:7" ht="20.25">
      <c r="A177" s="241">
        <f t="shared" si="18"/>
        <v>14.169999999999996</v>
      </c>
      <c r="B177" s="190" t="s">
        <v>67</v>
      </c>
      <c r="C177" s="213">
        <v>29.15</v>
      </c>
      <c r="D177" s="233" t="s">
        <v>9</v>
      </c>
      <c r="E177" s="234"/>
      <c r="F177" s="249">
        <f t="shared" si="17"/>
        <v>0</v>
      </c>
      <c r="G177" s="225"/>
    </row>
    <row r="178" spans="1:7" ht="20.25">
      <c r="A178" s="241">
        <f t="shared" si="18"/>
        <v>14.179999999999996</v>
      </c>
      <c r="B178" s="190" t="s">
        <v>69</v>
      </c>
      <c r="C178" s="213">
        <v>1</v>
      </c>
      <c r="D178" s="233" t="s">
        <v>12</v>
      </c>
      <c r="E178" s="234"/>
      <c r="F178" s="249">
        <f t="shared" si="17"/>
        <v>0</v>
      </c>
      <c r="G178" s="250"/>
    </row>
    <row r="179" spans="1:7" ht="20.25">
      <c r="A179" s="241">
        <f t="shared" si="18"/>
        <v>14.189999999999996</v>
      </c>
      <c r="B179" s="190" t="s">
        <v>70</v>
      </c>
      <c r="C179" s="213">
        <v>1</v>
      </c>
      <c r="D179" s="233" t="s">
        <v>12</v>
      </c>
      <c r="E179" s="234"/>
      <c r="F179" s="249">
        <f t="shared" si="17"/>
        <v>0</v>
      </c>
      <c r="G179" s="252"/>
    </row>
    <row r="180" spans="1:7" ht="20.25">
      <c r="A180" s="241">
        <f t="shared" si="18"/>
        <v>14.199999999999996</v>
      </c>
      <c r="B180" s="190" t="s">
        <v>71</v>
      </c>
      <c r="C180" s="213">
        <v>16.352767999999998</v>
      </c>
      <c r="D180" s="233" t="s">
        <v>30</v>
      </c>
      <c r="E180" s="234"/>
      <c r="F180" s="249">
        <f t="shared" si="17"/>
        <v>0</v>
      </c>
      <c r="G180" s="253"/>
    </row>
    <row r="181" spans="1:7" ht="21" thickBot="1">
      <c r="A181" s="144"/>
      <c r="B181" s="145"/>
      <c r="C181" s="150"/>
      <c r="D181" s="151"/>
      <c r="E181" s="146"/>
      <c r="F181" s="127"/>
      <c r="G181" s="254">
        <f>SUM(F161:F180)</f>
        <v>0</v>
      </c>
    </row>
    <row r="182" spans="1:7" ht="21" thickBot="1">
      <c r="A182" s="178">
        <v>15</v>
      </c>
      <c r="B182" s="179" t="s">
        <v>2003</v>
      </c>
      <c r="C182" s="180"/>
      <c r="D182" s="180"/>
      <c r="E182" s="180"/>
      <c r="F182" s="180"/>
      <c r="G182" s="181"/>
    </row>
    <row r="183" spans="1:7" ht="40.5">
      <c r="A183" s="182">
        <f>+A182+0.01</f>
        <v>15.01</v>
      </c>
      <c r="B183" s="183" t="s">
        <v>1781</v>
      </c>
      <c r="C183" s="210">
        <f>1.4*8+(1.8+8.8+12.3+5.2)*1.4+9.3*1.4+7.5*1.4+20.2*1.3+5*1.3+5*1.3</f>
        <v>113.32</v>
      </c>
      <c r="D183" s="221" t="s">
        <v>9</v>
      </c>
      <c r="E183" s="211"/>
      <c r="F183" s="212">
        <f>C183*E183</f>
        <v>0</v>
      </c>
      <c r="G183" s="218"/>
    </row>
    <row r="184" spans="1:7" ht="20.25">
      <c r="A184" s="198">
        <f>+A183+0.01</f>
        <v>15.02</v>
      </c>
      <c r="B184" s="216" t="s">
        <v>1782</v>
      </c>
      <c r="C184" s="213">
        <f>+C183*0.2</f>
        <v>22.664000000000001</v>
      </c>
      <c r="D184" s="222" t="s">
        <v>20</v>
      </c>
      <c r="E184" s="217"/>
      <c r="F184" s="215">
        <f>C184*E184</f>
        <v>0</v>
      </c>
      <c r="G184" s="218"/>
    </row>
    <row r="185" spans="1:7" ht="20.25">
      <c r="A185" s="198">
        <f>+A184+0.01</f>
        <v>15.03</v>
      </c>
      <c r="B185" s="216" t="s">
        <v>1783</v>
      </c>
      <c r="C185" s="213">
        <f>20.2+5+5+5+5+19.7+5.4+3</f>
        <v>68.300000000000011</v>
      </c>
      <c r="D185" s="222" t="s">
        <v>14</v>
      </c>
      <c r="E185" s="217"/>
      <c r="F185" s="215">
        <f>C185*E185</f>
        <v>0</v>
      </c>
      <c r="G185" s="218"/>
    </row>
    <row r="186" spans="1:7" ht="40.5">
      <c r="A186" s="198">
        <f>+A185+0.01</f>
        <v>15.04</v>
      </c>
      <c r="B186" s="216" t="s">
        <v>1784</v>
      </c>
      <c r="C186" s="213">
        <v>1</v>
      </c>
      <c r="D186" s="222" t="s">
        <v>12</v>
      </c>
      <c r="E186" s="217"/>
      <c r="F186" s="215">
        <f>C186*E186</f>
        <v>0</v>
      </c>
      <c r="G186" s="225"/>
    </row>
    <row r="187" spans="1:7" ht="40.5">
      <c r="A187" s="198">
        <f>+A186+0.01</f>
        <v>15.049999999999999</v>
      </c>
      <c r="B187" s="216" t="s">
        <v>1785</v>
      </c>
      <c r="C187" s="213">
        <v>1</v>
      </c>
      <c r="D187" s="222" t="s">
        <v>12</v>
      </c>
      <c r="E187" s="214"/>
      <c r="F187" s="215">
        <f>C187*E187</f>
        <v>0</v>
      </c>
      <c r="G187" s="218"/>
    </row>
    <row r="188" spans="1:7" ht="21" thickBot="1">
      <c r="A188" s="125"/>
      <c r="B188" s="135"/>
      <c r="C188" s="132"/>
      <c r="D188" s="134"/>
      <c r="E188" s="152"/>
      <c r="F188" s="127"/>
      <c r="G188" s="219">
        <f>SUM(F183:F187)</f>
        <v>0</v>
      </c>
    </row>
    <row r="189" spans="1:7" ht="21" thickBot="1">
      <c r="A189" s="178">
        <v>16</v>
      </c>
      <c r="B189" s="179" t="s">
        <v>1635</v>
      </c>
      <c r="C189" s="180"/>
      <c r="D189" s="180"/>
      <c r="E189" s="180"/>
      <c r="F189" s="180"/>
      <c r="G189" s="181"/>
    </row>
    <row r="190" spans="1:7" ht="20.25">
      <c r="A190" s="209">
        <f t="shared" ref="A190:A195" si="19">SUM(A189,0.01)</f>
        <v>16.010000000000002</v>
      </c>
      <c r="B190" s="220" t="s">
        <v>1786</v>
      </c>
      <c r="C190" s="210">
        <v>170.98</v>
      </c>
      <c r="D190" s="221" t="s">
        <v>20</v>
      </c>
      <c r="E190" s="211"/>
      <c r="F190" s="212">
        <f t="shared" ref="F190:F195" si="20">C190*E190</f>
        <v>0</v>
      </c>
      <c r="G190" s="223"/>
    </row>
    <row r="191" spans="1:7" ht="20.25">
      <c r="A191" s="198">
        <f t="shared" si="19"/>
        <v>16.020000000000003</v>
      </c>
      <c r="B191" s="216" t="s">
        <v>1787</v>
      </c>
      <c r="C191" s="213">
        <v>170.98</v>
      </c>
      <c r="D191" s="222" t="s">
        <v>20</v>
      </c>
      <c r="E191" s="217"/>
      <c r="F191" s="215">
        <f t="shared" si="20"/>
        <v>0</v>
      </c>
      <c r="G191" s="223"/>
    </row>
    <row r="192" spans="1:7" ht="20.25">
      <c r="A192" s="198">
        <f t="shared" si="19"/>
        <v>16.030000000000005</v>
      </c>
      <c r="B192" s="216" t="s">
        <v>49</v>
      </c>
      <c r="C192" s="213">
        <v>222.27</v>
      </c>
      <c r="D192" s="222" t="s">
        <v>20</v>
      </c>
      <c r="E192" s="217"/>
      <c r="F192" s="215">
        <f t="shared" si="20"/>
        <v>0</v>
      </c>
      <c r="G192" s="223"/>
    </row>
    <row r="193" spans="1:7" ht="60.75">
      <c r="A193" s="189">
        <f t="shared" si="19"/>
        <v>16.040000000000006</v>
      </c>
      <c r="B193" s="216" t="s">
        <v>1788</v>
      </c>
      <c r="C193" s="213">
        <f>12*19.7+5*8.8+5.4*6.1</f>
        <v>313.33999999999997</v>
      </c>
      <c r="D193" s="222" t="s">
        <v>9</v>
      </c>
      <c r="E193" s="217"/>
      <c r="F193" s="215">
        <f t="shared" si="20"/>
        <v>0</v>
      </c>
      <c r="G193" s="223"/>
    </row>
    <row r="194" spans="1:7" ht="20.25">
      <c r="A194" s="189">
        <f t="shared" si="19"/>
        <v>16.050000000000008</v>
      </c>
      <c r="B194" s="216" t="s">
        <v>1789</v>
      </c>
      <c r="C194" s="213">
        <v>10</v>
      </c>
      <c r="D194" s="222" t="s">
        <v>39</v>
      </c>
      <c r="E194" s="224"/>
      <c r="F194" s="215">
        <f t="shared" si="20"/>
        <v>0</v>
      </c>
      <c r="G194" s="225"/>
    </row>
    <row r="195" spans="1:7" ht="20.25">
      <c r="A195" s="189">
        <f t="shared" si="19"/>
        <v>16.060000000000009</v>
      </c>
      <c r="B195" s="216" t="s">
        <v>1790</v>
      </c>
      <c r="C195" s="213">
        <v>1</v>
      </c>
      <c r="D195" s="222" t="s">
        <v>56</v>
      </c>
      <c r="E195" s="217"/>
      <c r="F195" s="215">
        <f t="shared" si="20"/>
        <v>0</v>
      </c>
      <c r="G195" s="218"/>
    </row>
    <row r="196" spans="1:7" ht="21" thickBot="1">
      <c r="A196" s="125"/>
      <c r="B196" s="135"/>
      <c r="C196" s="132"/>
      <c r="D196" s="134"/>
      <c r="E196" s="133"/>
      <c r="F196" s="127"/>
      <c r="G196" s="219">
        <f>SUM(F190:F195)</f>
        <v>0</v>
      </c>
    </row>
    <row r="197" spans="1:7" ht="21" thickBot="1">
      <c r="A197" s="178">
        <v>17</v>
      </c>
      <c r="B197" s="179" t="s">
        <v>2004</v>
      </c>
      <c r="C197" s="180"/>
      <c r="D197" s="180"/>
      <c r="E197" s="180"/>
      <c r="F197" s="180"/>
      <c r="G197" s="181"/>
    </row>
    <row r="198" spans="1:7" ht="20.25">
      <c r="A198" s="182">
        <f>+A197+0.01</f>
        <v>17.010000000000002</v>
      </c>
      <c r="B198" s="220" t="s">
        <v>1791</v>
      </c>
      <c r="C198" s="210">
        <v>24</v>
      </c>
      <c r="D198" s="221" t="s">
        <v>39</v>
      </c>
      <c r="E198" s="255"/>
      <c r="F198" s="212">
        <f>+C198*E198</f>
        <v>0</v>
      </c>
      <c r="G198" s="218"/>
    </row>
    <row r="199" spans="1:7" ht="20.25">
      <c r="A199" s="189">
        <f t="shared" ref="A199:A211" si="21">+A198+0.01</f>
        <v>17.020000000000003</v>
      </c>
      <c r="B199" s="216" t="s">
        <v>1792</v>
      </c>
      <c r="C199" s="213">
        <v>18</v>
      </c>
      <c r="D199" s="222" t="s">
        <v>39</v>
      </c>
      <c r="E199" s="256"/>
      <c r="F199" s="215">
        <f t="shared" ref="F199:F210" si="22">+C199*E199</f>
        <v>0</v>
      </c>
      <c r="G199" s="218"/>
    </row>
    <row r="200" spans="1:7" ht="20.25">
      <c r="A200" s="198">
        <f t="shared" si="21"/>
        <v>17.030000000000005</v>
      </c>
      <c r="B200" s="216" t="s">
        <v>1793</v>
      </c>
      <c r="C200" s="213">
        <v>30</v>
      </c>
      <c r="D200" s="222" t="s">
        <v>39</v>
      </c>
      <c r="E200" s="256"/>
      <c r="F200" s="215">
        <f t="shared" si="22"/>
        <v>0</v>
      </c>
      <c r="G200" s="218"/>
    </row>
    <row r="201" spans="1:7" ht="20.25">
      <c r="A201" s="198">
        <f t="shared" si="21"/>
        <v>17.040000000000006</v>
      </c>
      <c r="B201" s="216" t="s">
        <v>1794</v>
      </c>
      <c r="C201" s="213">
        <v>15</v>
      </c>
      <c r="D201" s="222" t="s">
        <v>39</v>
      </c>
      <c r="E201" s="256"/>
      <c r="F201" s="215">
        <f t="shared" si="22"/>
        <v>0</v>
      </c>
      <c r="G201" s="218"/>
    </row>
    <row r="202" spans="1:7" ht="20.25">
      <c r="A202" s="198">
        <f t="shared" si="21"/>
        <v>17.050000000000008</v>
      </c>
      <c r="B202" s="216" t="s">
        <v>1795</v>
      </c>
      <c r="C202" s="213">
        <v>12</v>
      </c>
      <c r="D202" s="222" t="s">
        <v>39</v>
      </c>
      <c r="E202" s="256"/>
      <c r="F202" s="215">
        <f t="shared" si="22"/>
        <v>0</v>
      </c>
      <c r="G202" s="225"/>
    </row>
    <row r="203" spans="1:7" ht="20.25">
      <c r="A203" s="198">
        <f t="shared" si="21"/>
        <v>17.060000000000009</v>
      </c>
      <c r="B203" s="216" t="s">
        <v>1796</v>
      </c>
      <c r="C203" s="213">
        <v>10</v>
      </c>
      <c r="D203" s="222" t="s">
        <v>39</v>
      </c>
      <c r="E203" s="256"/>
      <c r="F203" s="215">
        <f t="shared" si="22"/>
        <v>0</v>
      </c>
      <c r="G203" s="225"/>
    </row>
    <row r="204" spans="1:7" ht="20.25">
      <c r="A204" s="198">
        <f t="shared" si="21"/>
        <v>17.070000000000011</v>
      </c>
      <c r="B204" s="216" t="s">
        <v>1797</v>
      </c>
      <c r="C204" s="213">
        <v>15</v>
      </c>
      <c r="D204" s="222" t="s">
        <v>39</v>
      </c>
      <c r="E204" s="257"/>
      <c r="F204" s="215">
        <f t="shared" si="22"/>
        <v>0</v>
      </c>
      <c r="G204" s="225"/>
    </row>
    <row r="205" spans="1:7" ht="20.25">
      <c r="A205" s="198">
        <f t="shared" si="21"/>
        <v>17.080000000000013</v>
      </c>
      <c r="B205" s="216" t="s">
        <v>1798</v>
      </c>
      <c r="C205" s="213">
        <v>3</v>
      </c>
      <c r="D205" s="222" t="s">
        <v>39</v>
      </c>
      <c r="E205" s="257"/>
      <c r="F205" s="215">
        <f t="shared" si="22"/>
        <v>0</v>
      </c>
      <c r="G205" s="225"/>
    </row>
    <row r="206" spans="1:7" ht="20.25">
      <c r="A206" s="198">
        <f t="shared" si="21"/>
        <v>17.090000000000014</v>
      </c>
      <c r="B206" s="216" t="s">
        <v>1799</v>
      </c>
      <c r="C206" s="213">
        <v>1</v>
      </c>
      <c r="D206" s="222" t="s">
        <v>39</v>
      </c>
      <c r="E206" s="257"/>
      <c r="F206" s="215">
        <f t="shared" si="22"/>
        <v>0</v>
      </c>
      <c r="G206" s="225"/>
    </row>
    <row r="207" spans="1:7" ht="20.25">
      <c r="A207" s="198">
        <f t="shared" si="21"/>
        <v>17.100000000000016</v>
      </c>
      <c r="B207" s="216" t="s">
        <v>1800</v>
      </c>
      <c r="C207" s="213">
        <v>1</v>
      </c>
      <c r="D207" s="222" t="s">
        <v>39</v>
      </c>
      <c r="E207" s="257"/>
      <c r="F207" s="215">
        <f t="shared" si="22"/>
        <v>0</v>
      </c>
      <c r="G207" s="225"/>
    </row>
    <row r="208" spans="1:7" ht="20.25">
      <c r="A208" s="198">
        <f t="shared" si="21"/>
        <v>17.110000000000017</v>
      </c>
      <c r="B208" s="216" t="s">
        <v>1801</v>
      </c>
      <c r="C208" s="213">
        <v>1</v>
      </c>
      <c r="D208" s="222" t="s">
        <v>39</v>
      </c>
      <c r="E208" s="257"/>
      <c r="F208" s="215">
        <f t="shared" si="22"/>
        <v>0</v>
      </c>
      <c r="G208" s="225"/>
    </row>
    <row r="209" spans="1:7" ht="20.25">
      <c r="A209" s="198">
        <f t="shared" si="21"/>
        <v>17.120000000000019</v>
      </c>
      <c r="B209" s="216" t="s">
        <v>1802</v>
      </c>
      <c r="C209" s="213">
        <v>1</v>
      </c>
      <c r="D209" s="222" t="s">
        <v>56</v>
      </c>
      <c r="E209" s="257"/>
      <c r="F209" s="215">
        <f t="shared" si="22"/>
        <v>0</v>
      </c>
      <c r="G209" s="225"/>
    </row>
    <row r="210" spans="1:7" ht="20.25">
      <c r="A210" s="198">
        <f t="shared" si="21"/>
        <v>17.13000000000002</v>
      </c>
      <c r="B210" s="216" t="s">
        <v>1803</v>
      </c>
      <c r="C210" s="213">
        <v>1</v>
      </c>
      <c r="D210" s="222" t="s">
        <v>56</v>
      </c>
      <c r="E210" s="258"/>
      <c r="F210" s="215">
        <f t="shared" si="22"/>
        <v>0</v>
      </c>
      <c r="G210" s="218"/>
    </row>
    <row r="211" spans="1:7" ht="20.25">
      <c r="A211" s="198">
        <f t="shared" si="21"/>
        <v>17.140000000000022</v>
      </c>
      <c r="B211" s="216" t="s">
        <v>1804</v>
      </c>
      <c r="C211" s="213">
        <v>20</v>
      </c>
      <c r="D211" s="222" t="s">
        <v>47</v>
      </c>
      <c r="E211" s="258"/>
      <c r="F211" s="215">
        <f>+E211*C211%</f>
        <v>0</v>
      </c>
      <c r="G211" s="218"/>
    </row>
    <row r="212" spans="1:7" ht="21" thickBot="1">
      <c r="A212" s="125"/>
      <c r="B212" s="135"/>
      <c r="C212" s="138"/>
      <c r="D212" s="134"/>
      <c r="E212" s="153"/>
      <c r="F212" s="127"/>
      <c r="G212" s="219">
        <f>SUM(F198:F211)</f>
        <v>0</v>
      </c>
    </row>
    <row r="213" spans="1:7" ht="21" thickBot="1">
      <c r="A213" s="178">
        <v>18</v>
      </c>
      <c r="B213" s="179" t="s">
        <v>2005</v>
      </c>
      <c r="C213" s="180"/>
      <c r="D213" s="180"/>
      <c r="E213" s="180"/>
      <c r="F213" s="180"/>
      <c r="G213" s="181"/>
    </row>
    <row r="214" spans="1:7" ht="40.5">
      <c r="A214" s="182">
        <f t="shared" ref="A214:A220" si="23">SUM(A213,0.01)</f>
        <v>18.010000000000002</v>
      </c>
      <c r="B214" s="220" t="s">
        <v>1805</v>
      </c>
      <c r="C214" s="210">
        <v>1</v>
      </c>
      <c r="D214" s="221" t="s">
        <v>39</v>
      </c>
      <c r="E214" s="211"/>
      <c r="F214" s="212">
        <f t="shared" ref="F214:F220" si="24">C214*E214</f>
        <v>0</v>
      </c>
      <c r="G214" s="223"/>
    </row>
    <row r="215" spans="1:7" ht="20.25">
      <c r="A215" s="189">
        <f t="shared" si="23"/>
        <v>18.020000000000003</v>
      </c>
      <c r="B215" s="216" t="s">
        <v>1806</v>
      </c>
      <c r="C215" s="213">
        <v>3.75</v>
      </c>
      <c r="D215" s="222" t="s">
        <v>9</v>
      </c>
      <c r="E215" s="217"/>
      <c r="F215" s="215">
        <f t="shared" si="24"/>
        <v>0</v>
      </c>
      <c r="G215" s="223"/>
    </row>
    <row r="216" spans="1:7" ht="20.25">
      <c r="A216" s="189">
        <f t="shared" si="23"/>
        <v>18.030000000000005</v>
      </c>
      <c r="B216" s="216" t="s">
        <v>1807</v>
      </c>
      <c r="C216" s="213">
        <v>7.54</v>
      </c>
      <c r="D216" s="222" t="s">
        <v>28</v>
      </c>
      <c r="E216" s="217"/>
      <c r="F216" s="215">
        <f t="shared" si="24"/>
        <v>0</v>
      </c>
      <c r="G216" s="225"/>
    </row>
    <row r="217" spans="1:7" ht="20.25">
      <c r="A217" s="189">
        <f t="shared" si="23"/>
        <v>18.040000000000006</v>
      </c>
      <c r="B217" s="216" t="s">
        <v>1808</v>
      </c>
      <c r="C217" s="213">
        <v>18</v>
      </c>
      <c r="D217" s="222" t="s">
        <v>39</v>
      </c>
      <c r="E217" s="217"/>
      <c r="F217" s="215">
        <f t="shared" si="24"/>
        <v>0</v>
      </c>
      <c r="G217" s="218"/>
    </row>
    <row r="218" spans="1:7" ht="40.5">
      <c r="A218" s="189">
        <f t="shared" si="23"/>
        <v>18.050000000000008</v>
      </c>
      <c r="B218" s="216" t="s">
        <v>1809</v>
      </c>
      <c r="C218" s="213">
        <v>4</v>
      </c>
      <c r="D218" s="222" t="s">
        <v>39</v>
      </c>
      <c r="E218" s="217"/>
      <c r="F218" s="215">
        <f t="shared" si="24"/>
        <v>0</v>
      </c>
      <c r="G218" s="218"/>
    </row>
    <row r="219" spans="1:7" ht="40.5">
      <c r="A219" s="189">
        <f t="shared" si="23"/>
        <v>18.060000000000009</v>
      </c>
      <c r="B219" s="216" t="s">
        <v>1810</v>
      </c>
      <c r="C219" s="213">
        <v>1</v>
      </c>
      <c r="D219" s="222" t="s">
        <v>39</v>
      </c>
      <c r="E219" s="217"/>
      <c r="F219" s="215">
        <f t="shared" si="24"/>
        <v>0</v>
      </c>
      <c r="G219" s="218"/>
    </row>
    <row r="220" spans="1:7" ht="40.5">
      <c r="A220" s="189">
        <f t="shared" si="23"/>
        <v>18.070000000000011</v>
      </c>
      <c r="B220" s="216" t="s">
        <v>1960</v>
      </c>
      <c r="C220" s="213">
        <v>1</v>
      </c>
      <c r="D220" s="222" t="s">
        <v>40</v>
      </c>
      <c r="E220" s="217"/>
      <c r="F220" s="215">
        <f t="shared" si="24"/>
        <v>0</v>
      </c>
      <c r="G220" s="218"/>
    </row>
    <row r="221" spans="1:7" ht="21" thickBot="1">
      <c r="A221" s="125"/>
      <c r="B221" s="135"/>
      <c r="C221" s="132"/>
      <c r="D221" s="134"/>
      <c r="E221" s="133"/>
      <c r="F221" s="127"/>
      <c r="G221" s="219">
        <f>SUM(F214:F220)</f>
        <v>0</v>
      </c>
    </row>
    <row r="222" spans="1:7" ht="21" thickBot="1">
      <c r="A222" s="178">
        <v>19</v>
      </c>
      <c r="B222" s="179" t="s">
        <v>84</v>
      </c>
      <c r="C222" s="180"/>
      <c r="D222" s="180"/>
      <c r="E222" s="180"/>
      <c r="F222" s="180"/>
      <c r="G222" s="181"/>
    </row>
    <row r="223" spans="1:7" ht="20.25">
      <c r="A223" s="259">
        <f t="shared" ref="A223:A235" si="25">+A222+0.01</f>
        <v>19.010000000000002</v>
      </c>
      <c r="B223" s="183" t="s">
        <v>85</v>
      </c>
      <c r="C223" s="210">
        <f>+(6.11+1.85*2)*0.3*0.35</f>
        <v>1.0300499999999999</v>
      </c>
      <c r="D223" s="260" t="s">
        <v>20</v>
      </c>
      <c r="E223" s="261"/>
      <c r="F223" s="262">
        <f>+C223*E223</f>
        <v>0</v>
      </c>
      <c r="G223" s="263"/>
    </row>
    <row r="224" spans="1:7" ht="20.25">
      <c r="A224" s="264">
        <f t="shared" si="25"/>
        <v>19.020000000000003</v>
      </c>
      <c r="B224" s="190" t="s">
        <v>16</v>
      </c>
      <c r="C224" s="213">
        <f>+C223*0.3</f>
        <v>0.30901499999999998</v>
      </c>
      <c r="D224" s="233" t="s">
        <v>17</v>
      </c>
      <c r="E224" s="234"/>
      <c r="F224" s="235">
        <f t="shared" ref="F224:F235" si="26">+C224*E224</f>
        <v>0</v>
      </c>
      <c r="G224" s="263"/>
    </row>
    <row r="225" spans="1:7" ht="40.5">
      <c r="A225" s="264">
        <f t="shared" si="25"/>
        <v>19.030000000000005</v>
      </c>
      <c r="B225" s="190" t="s">
        <v>18</v>
      </c>
      <c r="C225" s="213">
        <f>+C223*1.25-C224*1.25</f>
        <v>0.90129375</v>
      </c>
      <c r="D225" s="233" t="s">
        <v>19</v>
      </c>
      <c r="E225" s="234"/>
      <c r="F225" s="235">
        <f t="shared" si="26"/>
        <v>0</v>
      </c>
      <c r="G225" s="263"/>
    </row>
    <row r="226" spans="1:7" ht="60.75">
      <c r="A226" s="264">
        <f t="shared" si="25"/>
        <v>19.040000000000006</v>
      </c>
      <c r="B226" s="190" t="s">
        <v>1811</v>
      </c>
      <c r="C226" s="213">
        <f>((6.11+1.85*2)*0.3*0.2)</f>
        <v>0.58860000000000001</v>
      </c>
      <c r="D226" s="233" t="s">
        <v>20</v>
      </c>
      <c r="E226" s="234"/>
      <c r="F226" s="235">
        <f t="shared" si="26"/>
        <v>0</v>
      </c>
      <c r="G226" s="263"/>
    </row>
    <row r="227" spans="1:7" ht="20.25">
      <c r="A227" s="264">
        <f t="shared" si="25"/>
        <v>19.050000000000008</v>
      </c>
      <c r="B227" s="190" t="s">
        <v>86</v>
      </c>
      <c r="C227" s="213">
        <f>((6.11+1.85*2)*0.2)</f>
        <v>1.9620000000000002</v>
      </c>
      <c r="D227" s="233" t="s">
        <v>9</v>
      </c>
      <c r="E227" s="234"/>
      <c r="F227" s="235">
        <f t="shared" si="26"/>
        <v>0</v>
      </c>
      <c r="G227" s="263"/>
    </row>
    <row r="228" spans="1:7" ht="20.25">
      <c r="A228" s="264">
        <f t="shared" si="25"/>
        <v>19.060000000000009</v>
      </c>
      <c r="B228" s="190" t="s">
        <v>23</v>
      </c>
      <c r="C228" s="213">
        <f>((6.11+1.85*2)*0.4)</f>
        <v>3.9240000000000004</v>
      </c>
      <c r="D228" s="233" t="s">
        <v>9</v>
      </c>
      <c r="E228" s="234"/>
      <c r="F228" s="235">
        <f t="shared" si="26"/>
        <v>0</v>
      </c>
      <c r="G228" s="263"/>
    </row>
    <row r="229" spans="1:7" ht="20.25">
      <c r="A229" s="264">
        <f t="shared" si="25"/>
        <v>19.070000000000011</v>
      </c>
      <c r="B229" s="190" t="s">
        <v>79</v>
      </c>
      <c r="C229" s="213">
        <f>+((6.11+1.85*2)*0.4)</f>
        <v>3.9240000000000004</v>
      </c>
      <c r="D229" s="233" t="s">
        <v>9</v>
      </c>
      <c r="E229" s="234"/>
      <c r="F229" s="235">
        <f t="shared" si="26"/>
        <v>0</v>
      </c>
      <c r="G229" s="263"/>
    </row>
    <row r="230" spans="1:7" ht="20.25">
      <c r="A230" s="264">
        <f t="shared" si="25"/>
        <v>19.080000000000013</v>
      </c>
      <c r="B230" s="190" t="s">
        <v>64</v>
      </c>
      <c r="C230" s="213">
        <f>(6.11+1.85*2)</f>
        <v>9.81</v>
      </c>
      <c r="D230" s="233" t="s">
        <v>14</v>
      </c>
      <c r="E230" s="234"/>
      <c r="F230" s="235">
        <f>+C230*E230</f>
        <v>0</v>
      </c>
      <c r="G230" s="263"/>
    </row>
    <row r="231" spans="1:7" ht="20.25">
      <c r="A231" s="264">
        <f t="shared" si="25"/>
        <v>19.090000000000014</v>
      </c>
      <c r="B231" s="190" t="s">
        <v>26</v>
      </c>
      <c r="C231" s="213">
        <f>+C230*2+0.4*2</f>
        <v>20.420000000000002</v>
      </c>
      <c r="D231" s="233" t="s">
        <v>14</v>
      </c>
      <c r="E231" s="234"/>
      <c r="F231" s="235">
        <f t="shared" si="26"/>
        <v>0</v>
      </c>
      <c r="G231" s="263"/>
    </row>
    <row r="232" spans="1:7" ht="20.25">
      <c r="A232" s="264">
        <f t="shared" si="25"/>
        <v>19.100000000000016</v>
      </c>
      <c r="B232" s="190" t="s">
        <v>67</v>
      </c>
      <c r="C232" s="213">
        <f>+C229+C230*0.1</f>
        <v>4.9050000000000002</v>
      </c>
      <c r="D232" s="233" t="s">
        <v>9</v>
      </c>
      <c r="E232" s="234"/>
      <c r="F232" s="235">
        <f t="shared" si="26"/>
        <v>0</v>
      </c>
      <c r="G232" s="263"/>
    </row>
    <row r="233" spans="1:7" ht="20.25">
      <c r="A233" s="264">
        <f t="shared" si="25"/>
        <v>19.110000000000017</v>
      </c>
      <c r="B233" s="190" t="s">
        <v>36</v>
      </c>
      <c r="C233" s="213">
        <f>+C232</f>
        <v>4.9050000000000002</v>
      </c>
      <c r="D233" s="233" t="s">
        <v>9</v>
      </c>
      <c r="E233" s="234"/>
      <c r="F233" s="235">
        <f t="shared" si="26"/>
        <v>0</v>
      </c>
      <c r="G233" s="263"/>
    </row>
    <row r="234" spans="1:7" ht="20.25">
      <c r="A234" s="264">
        <f t="shared" si="25"/>
        <v>19.120000000000019</v>
      </c>
      <c r="B234" s="190" t="s">
        <v>87</v>
      </c>
      <c r="C234" s="213">
        <v>7</v>
      </c>
      <c r="D234" s="233" t="s">
        <v>20</v>
      </c>
      <c r="E234" s="234"/>
      <c r="F234" s="235">
        <f t="shared" si="26"/>
        <v>0</v>
      </c>
      <c r="G234" s="263"/>
    </row>
    <row r="235" spans="1:7" ht="20.25">
      <c r="A235" s="264">
        <f t="shared" si="25"/>
        <v>19.13000000000002</v>
      </c>
      <c r="B235" s="190" t="s">
        <v>88</v>
      </c>
      <c r="C235" s="213">
        <v>17</v>
      </c>
      <c r="D235" s="233" t="s">
        <v>9</v>
      </c>
      <c r="E235" s="234"/>
      <c r="F235" s="235">
        <f t="shared" si="26"/>
        <v>0</v>
      </c>
      <c r="G235" s="263"/>
    </row>
    <row r="236" spans="1:7" ht="21" thickBot="1">
      <c r="A236" s="154"/>
      <c r="B236" s="145"/>
      <c r="C236" s="150"/>
      <c r="D236" s="151"/>
      <c r="E236" s="155"/>
      <c r="F236" s="156"/>
      <c r="G236" s="265">
        <f>SUM(F223:F235)</f>
        <v>0</v>
      </c>
    </row>
    <row r="237" spans="1:7" ht="21" thickBot="1">
      <c r="A237" s="266">
        <v>20</v>
      </c>
      <c r="B237" s="267" t="s">
        <v>1812</v>
      </c>
      <c r="C237" s="268"/>
      <c r="D237" s="268"/>
      <c r="E237" s="268"/>
      <c r="F237" s="268"/>
      <c r="G237" s="181"/>
    </row>
    <row r="238" spans="1:7" ht="20.25">
      <c r="A238" s="198">
        <f>+A237+0.01</f>
        <v>20.010000000000002</v>
      </c>
      <c r="B238" s="216" t="s">
        <v>1813</v>
      </c>
      <c r="C238" s="213">
        <v>1</v>
      </c>
      <c r="D238" s="228" t="s">
        <v>1712</v>
      </c>
      <c r="E238" s="229"/>
      <c r="F238" s="215">
        <f>+C238*E238</f>
        <v>0</v>
      </c>
      <c r="G238" s="232"/>
    </row>
    <row r="239" spans="1:7" ht="21" thickBot="1">
      <c r="A239" s="125"/>
      <c r="B239" s="135"/>
      <c r="C239" s="142"/>
      <c r="D239" s="139"/>
      <c r="E239" s="143"/>
      <c r="F239" s="127"/>
      <c r="G239" s="219">
        <f>SUM(F238)</f>
        <v>0</v>
      </c>
    </row>
    <row r="240" spans="1:7" ht="21" thickBot="1">
      <c r="A240" s="144"/>
      <c r="B240" s="145"/>
      <c r="C240" s="141"/>
      <c r="D240" s="141"/>
      <c r="E240" s="146"/>
      <c r="F240" s="147"/>
      <c r="G240" s="137"/>
    </row>
    <row r="241" spans="1:7" ht="26.25" customHeight="1" thickBot="1">
      <c r="A241" s="269"/>
      <c r="B241" s="270" t="s">
        <v>2006</v>
      </c>
      <c r="C241" s="270"/>
      <c r="D241" s="270"/>
      <c r="E241" s="271"/>
      <c r="F241" s="270"/>
      <c r="G241" s="272"/>
    </row>
    <row r="242" spans="1:7" ht="21" thickBot="1">
      <c r="A242" s="178">
        <v>21</v>
      </c>
      <c r="B242" s="179" t="s">
        <v>1978</v>
      </c>
      <c r="C242" s="180"/>
      <c r="D242" s="180"/>
      <c r="E242" s="180"/>
      <c r="F242" s="180"/>
      <c r="G242" s="181"/>
    </row>
    <row r="243" spans="1:7" ht="20.25">
      <c r="A243" s="209">
        <f>+A242+0.01</f>
        <v>21.01</v>
      </c>
      <c r="B243" s="220" t="s">
        <v>1692</v>
      </c>
      <c r="C243" s="273">
        <v>1</v>
      </c>
      <c r="D243" s="221" t="s">
        <v>56</v>
      </c>
      <c r="E243" s="211"/>
      <c r="F243" s="212">
        <f>+C243*E243</f>
        <v>0</v>
      </c>
      <c r="G243" s="218"/>
    </row>
    <row r="244" spans="1:7" ht="20.25">
      <c r="A244" s="198">
        <f t="shared" ref="A244:A261" si="27">+A243+0.01</f>
        <v>21.020000000000003</v>
      </c>
      <c r="B244" s="216" t="s">
        <v>1976</v>
      </c>
      <c r="C244" s="274">
        <v>44.3</v>
      </c>
      <c r="D244" s="222" t="s">
        <v>20</v>
      </c>
      <c r="E244" s="217"/>
      <c r="F244" s="215">
        <f t="shared" ref="F244:F261" si="28">+C244*E244</f>
        <v>0</v>
      </c>
      <c r="G244" s="218"/>
    </row>
    <row r="245" spans="1:7" ht="20.25">
      <c r="A245" s="198">
        <f t="shared" si="27"/>
        <v>21.030000000000005</v>
      </c>
      <c r="B245" s="190" t="s">
        <v>1977</v>
      </c>
      <c r="C245" s="275">
        <v>9.94</v>
      </c>
      <c r="D245" s="222" t="s">
        <v>20</v>
      </c>
      <c r="E245" s="217"/>
      <c r="F245" s="215">
        <f t="shared" si="28"/>
        <v>0</v>
      </c>
      <c r="G245" s="218"/>
    </row>
    <row r="246" spans="1:7" ht="20.25">
      <c r="A246" s="198">
        <f t="shared" si="27"/>
        <v>21.040000000000006</v>
      </c>
      <c r="B246" s="216" t="s">
        <v>81</v>
      </c>
      <c r="C246" s="274">
        <f>+(C244+C245)*0.6</f>
        <v>32.543999999999997</v>
      </c>
      <c r="D246" s="222" t="s">
        <v>20</v>
      </c>
      <c r="E246" s="217"/>
      <c r="F246" s="215">
        <f t="shared" si="28"/>
        <v>0</v>
      </c>
      <c r="G246" s="218"/>
    </row>
    <row r="247" spans="1:7" ht="20.25">
      <c r="A247" s="198">
        <f t="shared" si="27"/>
        <v>21.050000000000008</v>
      </c>
      <c r="B247" s="216" t="s">
        <v>1716</v>
      </c>
      <c r="C247" s="274">
        <f>+(C244+C245)*1.3-C246</f>
        <v>37.968000000000004</v>
      </c>
      <c r="D247" s="222" t="s">
        <v>20</v>
      </c>
      <c r="E247" s="217"/>
      <c r="F247" s="215">
        <f t="shared" si="28"/>
        <v>0</v>
      </c>
      <c r="G247" s="225"/>
    </row>
    <row r="248" spans="1:7" ht="40.5">
      <c r="A248" s="198">
        <f t="shared" si="27"/>
        <v>21.060000000000009</v>
      </c>
      <c r="B248" s="216" t="s">
        <v>1814</v>
      </c>
      <c r="C248" s="276">
        <v>17.399999999999999</v>
      </c>
      <c r="D248" s="222" t="s">
        <v>20</v>
      </c>
      <c r="E248" s="277"/>
      <c r="F248" s="215">
        <f t="shared" si="28"/>
        <v>0</v>
      </c>
      <c r="G248" s="225"/>
    </row>
    <row r="249" spans="1:7" ht="40.5">
      <c r="A249" s="198">
        <f t="shared" si="27"/>
        <v>21.070000000000011</v>
      </c>
      <c r="B249" s="190" t="s">
        <v>1815</v>
      </c>
      <c r="C249" s="278">
        <f>0.9*0.9*0.2*35</f>
        <v>5.6700000000000008</v>
      </c>
      <c r="D249" s="279" t="s">
        <v>20</v>
      </c>
      <c r="E249" s="277"/>
      <c r="F249" s="215">
        <f t="shared" si="28"/>
        <v>0</v>
      </c>
      <c r="G249" s="225"/>
    </row>
    <row r="250" spans="1:7" ht="40.5">
      <c r="A250" s="198">
        <f t="shared" si="27"/>
        <v>21.080000000000013</v>
      </c>
      <c r="B250" s="216" t="s">
        <v>1816</v>
      </c>
      <c r="C250" s="275">
        <f>38*0.25*0.25*2</f>
        <v>4.75</v>
      </c>
      <c r="D250" s="222" t="s">
        <v>20</v>
      </c>
      <c r="E250" s="256"/>
      <c r="F250" s="215">
        <f t="shared" si="28"/>
        <v>0</v>
      </c>
      <c r="G250" s="225"/>
    </row>
    <row r="251" spans="1:7" ht="40.5">
      <c r="A251" s="198">
        <f t="shared" si="27"/>
        <v>21.090000000000014</v>
      </c>
      <c r="B251" s="190" t="s">
        <v>1817</v>
      </c>
      <c r="C251" s="275">
        <f>151.5*0.4</f>
        <v>60.6</v>
      </c>
      <c r="D251" s="279" t="s">
        <v>9</v>
      </c>
      <c r="E251" s="280"/>
      <c r="F251" s="215">
        <f t="shared" si="28"/>
        <v>0</v>
      </c>
      <c r="G251" s="225"/>
    </row>
    <row r="252" spans="1:7" ht="20.25">
      <c r="A252" s="198">
        <f t="shared" si="27"/>
        <v>21.100000000000016</v>
      </c>
      <c r="B252" s="190" t="s">
        <v>1818</v>
      </c>
      <c r="C252" s="281">
        <f>151.5*2-6.17*2</f>
        <v>290.66000000000003</v>
      </c>
      <c r="D252" s="279" t="s">
        <v>9</v>
      </c>
      <c r="E252" s="258"/>
      <c r="F252" s="215">
        <f t="shared" si="28"/>
        <v>0</v>
      </c>
      <c r="G252" s="218"/>
    </row>
    <row r="253" spans="1:7" ht="20.25">
      <c r="A253" s="198">
        <f t="shared" si="27"/>
        <v>21.110000000000017</v>
      </c>
      <c r="B253" s="282" t="s">
        <v>1819</v>
      </c>
      <c r="C253" s="281">
        <f>+C252*2</f>
        <v>581.32000000000005</v>
      </c>
      <c r="D253" s="279" t="s">
        <v>9</v>
      </c>
      <c r="E253" s="217"/>
      <c r="F253" s="215">
        <f t="shared" si="28"/>
        <v>0</v>
      </c>
      <c r="G253" s="218"/>
    </row>
    <row r="254" spans="1:7" ht="20.25">
      <c r="A254" s="198">
        <f t="shared" si="27"/>
        <v>21.120000000000019</v>
      </c>
      <c r="B254" s="282" t="s">
        <v>82</v>
      </c>
      <c r="C254" s="281">
        <f>2*35</f>
        <v>70</v>
      </c>
      <c r="D254" s="279" t="s">
        <v>9</v>
      </c>
      <c r="E254" s="217"/>
      <c r="F254" s="215">
        <f t="shared" si="28"/>
        <v>0</v>
      </c>
      <c r="G254" s="218"/>
    </row>
    <row r="255" spans="1:7" ht="20.25">
      <c r="A255" s="198">
        <f t="shared" si="27"/>
        <v>21.13000000000002</v>
      </c>
      <c r="B255" s="282" t="s">
        <v>26</v>
      </c>
      <c r="C255" s="281">
        <f>4*2*35+151*2</f>
        <v>582</v>
      </c>
      <c r="D255" s="279" t="s">
        <v>14</v>
      </c>
      <c r="E255" s="217"/>
      <c r="F255" s="215">
        <f t="shared" si="28"/>
        <v>0</v>
      </c>
      <c r="G255" s="218"/>
    </row>
    <row r="256" spans="1:7" ht="20.25">
      <c r="A256" s="198">
        <f t="shared" si="27"/>
        <v>21.140000000000022</v>
      </c>
      <c r="B256" s="216" t="s">
        <v>67</v>
      </c>
      <c r="C256" s="283">
        <f>+C253</f>
        <v>581.32000000000005</v>
      </c>
      <c r="D256" s="228" t="s">
        <v>9</v>
      </c>
      <c r="E256" s="284"/>
      <c r="F256" s="215">
        <f>+C256*E256</f>
        <v>0</v>
      </c>
      <c r="G256" s="218"/>
    </row>
    <row r="257" spans="1:7" ht="20.25">
      <c r="A257" s="198">
        <f t="shared" si="27"/>
        <v>21.150000000000023</v>
      </c>
      <c r="B257" s="190" t="s">
        <v>1820</v>
      </c>
      <c r="C257" s="275">
        <f>+C256</f>
        <v>581.32000000000005</v>
      </c>
      <c r="D257" s="279" t="s">
        <v>9</v>
      </c>
      <c r="E257" s="285"/>
      <c r="F257" s="215">
        <f t="shared" si="28"/>
        <v>0</v>
      </c>
      <c r="G257" s="225"/>
    </row>
    <row r="258" spans="1:7" ht="20.25">
      <c r="A258" s="198">
        <f t="shared" si="27"/>
        <v>21.160000000000025</v>
      </c>
      <c r="B258" s="190" t="s">
        <v>1821</v>
      </c>
      <c r="C258" s="275">
        <f>1.4*2.9*10.76</f>
        <v>43.685599999999994</v>
      </c>
      <c r="D258" s="279" t="s">
        <v>30</v>
      </c>
      <c r="E258" s="285"/>
      <c r="F258" s="215">
        <f t="shared" si="28"/>
        <v>0</v>
      </c>
      <c r="G258" s="225"/>
    </row>
    <row r="259" spans="1:7" ht="60.75">
      <c r="A259" s="189">
        <f t="shared" si="27"/>
        <v>21.170000000000027</v>
      </c>
      <c r="B259" s="190" t="s">
        <v>1822</v>
      </c>
      <c r="C259" s="275">
        <f>6.17*2.9*10.76</f>
        <v>192.52868000000001</v>
      </c>
      <c r="D259" s="279" t="s">
        <v>30</v>
      </c>
      <c r="E259" s="285"/>
      <c r="F259" s="215">
        <f t="shared" si="28"/>
        <v>0</v>
      </c>
      <c r="G259" s="225"/>
    </row>
    <row r="260" spans="1:7" ht="60.75">
      <c r="A260" s="189">
        <f t="shared" si="27"/>
        <v>21.180000000000028</v>
      </c>
      <c r="B260" s="190" t="s">
        <v>1823</v>
      </c>
      <c r="C260" s="275">
        <f>5*2.9*10.76</f>
        <v>156.02000000000001</v>
      </c>
      <c r="D260" s="279" t="s">
        <v>30</v>
      </c>
      <c r="E260" s="285"/>
      <c r="F260" s="215">
        <f t="shared" si="28"/>
        <v>0</v>
      </c>
      <c r="G260" s="225"/>
    </row>
    <row r="261" spans="1:7" s="87" customFormat="1" ht="20.25">
      <c r="A261" s="198">
        <f t="shared" si="27"/>
        <v>21.19000000000003</v>
      </c>
      <c r="B261" s="286" t="s">
        <v>1824</v>
      </c>
      <c r="C261" s="287">
        <v>452.78</v>
      </c>
      <c r="D261" s="288" t="s">
        <v>30</v>
      </c>
      <c r="E261" s="285"/>
      <c r="F261" s="289">
        <f t="shared" si="28"/>
        <v>0</v>
      </c>
      <c r="G261" s="290"/>
    </row>
    <row r="262" spans="1:7" ht="21" thickBot="1">
      <c r="A262" s="125"/>
      <c r="B262" s="145"/>
      <c r="C262" s="141"/>
      <c r="D262" s="157"/>
      <c r="E262" s="159"/>
      <c r="F262" s="127"/>
      <c r="G262" s="219">
        <f>SUM(F243:F261)</f>
        <v>0</v>
      </c>
    </row>
    <row r="263" spans="1:7" ht="21" thickBot="1">
      <c r="A263" s="178">
        <v>22</v>
      </c>
      <c r="B263" s="179" t="s">
        <v>2007</v>
      </c>
      <c r="C263" s="180"/>
      <c r="D263" s="180"/>
      <c r="E263" s="180"/>
      <c r="F263" s="180"/>
      <c r="G263" s="181"/>
    </row>
    <row r="264" spans="1:7" ht="20.25">
      <c r="A264" s="209">
        <f>+A263+0.01</f>
        <v>22.01</v>
      </c>
      <c r="B264" s="220" t="s">
        <v>1825</v>
      </c>
      <c r="C264" s="273">
        <v>79.16</v>
      </c>
      <c r="D264" s="221" t="s">
        <v>9</v>
      </c>
      <c r="E264" s="211"/>
      <c r="F264" s="212">
        <f>+C264*E264</f>
        <v>0</v>
      </c>
      <c r="G264" s="218"/>
    </row>
    <row r="265" spans="1:7" ht="20.25">
      <c r="A265" s="198">
        <f t="shared" ref="A265:A268" si="29">+A264+0.01</f>
        <v>22.020000000000003</v>
      </c>
      <c r="B265" s="216" t="s">
        <v>1826</v>
      </c>
      <c r="C265" s="274">
        <v>8</v>
      </c>
      <c r="D265" s="222" t="s">
        <v>33</v>
      </c>
      <c r="E265" s="217"/>
      <c r="F265" s="215">
        <f t="shared" ref="F265:F268" si="30">+C265*E265</f>
        <v>0</v>
      </c>
      <c r="G265" s="218"/>
    </row>
    <row r="266" spans="1:7" ht="20.25">
      <c r="A266" s="198">
        <f t="shared" si="29"/>
        <v>22.030000000000005</v>
      </c>
      <c r="B266" s="216" t="s">
        <v>1827</v>
      </c>
      <c r="C266" s="274">
        <v>3</v>
      </c>
      <c r="D266" s="222" t="s">
        <v>33</v>
      </c>
      <c r="E266" s="217"/>
      <c r="F266" s="215">
        <f t="shared" si="30"/>
        <v>0</v>
      </c>
      <c r="G266" s="218"/>
    </row>
    <row r="267" spans="1:7" ht="20.25">
      <c r="A267" s="198">
        <f t="shared" si="29"/>
        <v>22.040000000000006</v>
      </c>
      <c r="B267" s="216" t="s">
        <v>1828</v>
      </c>
      <c r="C267" s="274">
        <v>14</v>
      </c>
      <c r="D267" s="222" t="s">
        <v>20</v>
      </c>
      <c r="E267" s="217"/>
      <c r="F267" s="215">
        <f t="shared" si="30"/>
        <v>0</v>
      </c>
      <c r="G267" s="218"/>
    </row>
    <row r="268" spans="1:7" ht="20.25">
      <c r="A268" s="198">
        <f t="shared" si="29"/>
        <v>22.050000000000008</v>
      </c>
      <c r="B268" s="216" t="s">
        <v>1829</v>
      </c>
      <c r="C268" s="274">
        <v>50.96</v>
      </c>
      <c r="D268" s="222" t="s">
        <v>9</v>
      </c>
      <c r="E268" s="217"/>
      <c r="F268" s="215">
        <f t="shared" si="30"/>
        <v>0</v>
      </c>
      <c r="G268" s="225"/>
    </row>
    <row r="269" spans="1:7" ht="21" thickBot="1">
      <c r="A269" s="125"/>
      <c r="B269" s="145"/>
      <c r="C269" s="160"/>
      <c r="D269" s="157"/>
      <c r="E269" s="159"/>
      <c r="F269" s="127"/>
      <c r="G269" s="219">
        <f>SUM(F264:F268)</f>
        <v>0</v>
      </c>
    </row>
    <row r="270" spans="1:7" ht="21" thickBot="1">
      <c r="A270" s="125"/>
      <c r="B270" s="145"/>
      <c r="C270" s="160"/>
      <c r="D270" s="157"/>
      <c r="E270" s="159"/>
      <c r="F270" s="127"/>
      <c r="G270" s="130"/>
    </row>
    <row r="271" spans="1:7" ht="20.25" customHeight="1" thickBot="1">
      <c r="A271" s="291"/>
      <c r="B271" s="292" t="s">
        <v>1933</v>
      </c>
      <c r="C271" s="292"/>
      <c r="D271" s="292"/>
      <c r="E271" s="293"/>
      <c r="F271" s="292"/>
      <c r="G271" s="294"/>
    </row>
    <row r="272" spans="1:7" s="87" customFormat="1" ht="20.25" customHeight="1" thickBot="1">
      <c r="A272" s="295"/>
      <c r="B272" s="296"/>
      <c r="C272" s="296"/>
      <c r="D272" s="296"/>
      <c r="E272" s="297"/>
      <c r="F272" s="296"/>
      <c r="G272" s="158"/>
    </row>
    <row r="273" spans="1:7" ht="21" thickBot="1">
      <c r="A273" s="178">
        <v>24</v>
      </c>
      <c r="B273" s="179" t="s">
        <v>1999</v>
      </c>
      <c r="C273" s="180"/>
      <c r="D273" s="180"/>
      <c r="E273" s="180"/>
      <c r="F273" s="180"/>
      <c r="G273" s="181"/>
    </row>
    <row r="274" spans="1:7" s="84" customFormat="1" ht="40.5">
      <c r="A274" s="209">
        <f>A273+0.01</f>
        <v>24.01</v>
      </c>
      <c r="B274" s="220" t="str">
        <f>+B43</f>
        <v>Columnas C1 (0.2 x 0.2) 4Ø1/2"+ est. Ø3/8"@0.15 m, Hormigon Industrial 210 kg/cm2</v>
      </c>
      <c r="C274" s="210">
        <f>18*0.2*0.2*3.1</f>
        <v>2.2320000000000002</v>
      </c>
      <c r="D274" s="185" t="s">
        <v>20</v>
      </c>
      <c r="E274" s="211"/>
      <c r="F274" s="212">
        <f t="shared" ref="F274:F287" si="31">C274*E274</f>
        <v>0</v>
      </c>
      <c r="G274" s="188"/>
    </row>
    <row r="275" spans="1:7" s="84" customFormat="1" ht="40.5">
      <c r="A275" s="198">
        <f>A274+0.01</f>
        <v>24.020000000000003</v>
      </c>
      <c r="B275" s="190" t="s">
        <v>1717</v>
      </c>
      <c r="C275" s="213">
        <f>memoria!$L$35</f>
        <v>2.7960000000000007</v>
      </c>
      <c r="D275" s="192" t="s">
        <v>20</v>
      </c>
      <c r="E275" s="217"/>
      <c r="F275" s="215">
        <f t="shared" si="31"/>
        <v>0</v>
      </c>
      <c r="G275" s="188"/>
    </row>
    <row r="276" spans="1:7" s="84" customFormat="1" ht="60.75">
      <c r="A276" s="198">
        <f t="shared" ref="A276:A287" si="32">A275+0.01</f>
        <v>24.030000000000005</v>
      </c>
      <c r="B276" s="216" t="s">
        <v>1963</v>
      </c>
      <c r="C276" s="213">
        <f>18.8*0.2*0.4</f>
        <v>1.5040000000000002</v>
      </c>
      <c r="D276" s="192" t="s">
        <v>20</v>
      </c>
      <c r="E276" s="214"/>
      <c r="F276" s="215">
        <f t="shared" si="31"/>
        <v>0</v>
      </c>
      <c r="G276" s="188"/>
    </row>
    <row r="277" spans="1:7" s="84" customFormat="1" ht="40.5">
      <c r="A277" s="198">
        <f t="shared" si="32"/>
        <v>24.040000000000006</v>
      </c>
      <c r="B277" s="216" t="s">
        <v>1961</v>
      </c>
      <c r="C277" s="213">
        <f>5*0.2*0.4</f>
        <v>0.4</v>
      </c>
      <c r="D277" s="192" t="s">
        <v>20</v>
      </c>
      <c r="E277" s="214"/>
      <c r="F277" s="215">
        <f t="shared" si="31"/>
        <v>0</v>
      </c>
      <c r="G277" s="188"/>
    </row>
    <row r="278" spans="1:7" s="84" customFormat="1" ht="61.5" customHeight="1">
      <c r="A278" s="198">
        <f t="shared" si="32"/>
        <v>24.050000000000008</v>
      </c>
      <c r="B278" s="216" t="s">
        <v>1962</v>
      </c>
      <c r="C278" s="213">
        <f>9.8*0.2*0.4</f>
        <v>0.78400000000000014</v>
      </c>
      <c r="D278" s="192" t="s">
        <v>20</v>
      </c>
      <c r="E278" s="214"/>
      <c r="F278" s="215">
        <f t="shared" si="31"/>
        <v>0</v>
      </c>
      <c r="G278" s="188"/>
    </row>
    <row r="279" spans="1:7" s="84" customFormat="1" ht="61.5" customHeight="1">
      <c r="A279" s="198">
        <f t="shared" si="32"/>
        <v>24.060000000000009</v>
      </c>
      <c r="B279" s="216" t="s">
        <v>1968</v>
      </c>
      <c r="C279" s="213">
        <f>16.3*0.4*0.2</f>
        <v>1.3040000000000003</v>
      </c>
      <c r="D279" s="192" t="s">
        <v>20</v>
      </c>
      <c r="E279" s="214"/>
      <c r="F279" s="215">
        <f t="shared" si="31"/>
        <v>0</v>
      </c>
      <c r="G279" s="188"/>
    </row>
    <row r="280" spans="1:7" s="84" customFormat="1" ht="60.75">
      <c r="A280" s="198">
        <f t="shared" si="32"/>
        <v>24.070000000000011</v>
      </c>
      <c r="B280" s="216" t="s">
        <v>1969</v>
      </c>
      <c r="C280" s="213">
        <f>9.8*0.2*0.4</f>
        <v>0.78400000000000014</v>
      </c>
      <c r="D280" s="192" t="s">
        <v>20</v>
      </c>
      <c r="E280" s="214"/>
      <c r="F280" s="215">
        <f t="shared" si="31"/>
        <v>0</v>
      </c>
      <c r="G280" s="188"/>
    </row>
    <row r="281" spans="1:7" s="84" customFormat="1" ht="57.75" customHeight="1">
      <c r="A281" s="198">
        <f t="shared" si="32"/>
        <v>24.080000000000013</v>
      </c>
      <c r="B281" s="216" t="s">
        <v>1970</v>
      </c>
      <c r="C281" s="213">
        <f>14.8*0.2*0.4</f>
        <v>1.1840000000000002</v>
      </c>
      <c r="D281" s="192" t="s">
        <v>20</v>
      </c>
      <c r="E281" s="214"/>
      <c r="F281" s="215">
        <f t="shared" si="31"/>
        <v>0</v>
      </c>
      <c r="G281" s="188"/>
    </row>
    <row r="282" spans="1:7" s="84" customFormat="1" ht="40.5">
      <c r="A282" s="198">
        <f t="shared" si="32"/>
        <v>24.090000000000014</v>
      </c>
      <c r="B282" s="216" t="s">
        <v>1971</v>
      </c>
      <c r="C282" s="213">
        <f>5*0.2*0.4</f>
        <v>0.4</v>
      </c>
      <c r="D282" s="192" t="s">
        <v>20</v>
      </c>
      <c r="E282" s="214"/>
      <c r="F282" s="215">
        <f t="shared" si="31"/>
        <v>0</v>
      </c>
      <c r="G282" s="188"/>
    </row>
    <row r="283" spans="1:7" s="84" customFormat="1" ht="63" customHeight="1">
      <c r="A283" s="198">
        <f t="shared" si="32"/>
        <v>24.100000000000016</v>
      </c>
      <c r="B283" s="216" t="s">
        <v>1972</v>
      </c>
      <c r="C283" s="213">
        <f>14.2*0.2*0.4</f>
        <v>1.1359999999999999</v>
      </c>
      <c r="D283" s="192" t="s">
        <v>20</v>
      </c>
      <c r="E283" s="214"/>
      <c r="F283" s="215">
        <f t="shared" si="31"/>
        <v>0</v>
      </c>
      <c r="G283" s="188"/>
    </row>
    <row r="284" spans="1:7" s="84" customFormat="1" ht="40.5">
      <c r="A284" s="198">
        <f t="shared" si="32"/>
        <v>24.110000000000017</v>
      </c>
      <c r="B284" s="216" t="s">
        <v>1973</v>
      </c>
      <c r="C284" s="213">
        <f>5*0.2*0.4</f>
        <v>0.4</v>
      </c>
      <c r="D284" s="192" t="s">
        <v>20</v>
      </c>
      <c r="E284" s="214"/>
      <c r="F284" s="215">
        <f t="shared" si="31"/>
        <v>0</v>
      </c>
      <c r="G284" s="188"/>
    </row>
    <row r="285" spans="1:7" s="84" customFormat="1" ht="61.5" customHeight="1">
      <c r="A285" s="198">
        <f t="shared" si="32"/>
        <v>24.120000000000019</v>
      </c>
      <c r="B285" s="216" t="s">
        <v>1974</v>
      </c>
      <c r="C285" s="213">
        <f>9.8*0.2*0.4</f>
        <v>0.78400000000000014</v>
      </c>
      <c r="D285" s="192" t="s">
        <v>20</v>
      </c>
      <c r="E285" s="214"/>
      <c r="F285" s="215">
        <f t="shared" si="31"/>
        <v>0</v>
      </c>
      <c r="G285" s="188"/>
    </row>
    <row r="286" spans="1:7" s="84" customFormat="1" ht="40.5">
      <c r="A286" s="198">
        <f t="shared" si="32"/>
        <v>24.13000000000002</v>
      </c>
      <c r="B286" s="190" t="s">
        <v>1954</v>
      </c>
      <c r="C286" s="213">
        <f>+memoria!C35*0.2*0.2</f>
        <v>4.1779999999999999</v>
      </c>
      <c r="D286" s="192" t="s">
        <v>20</v>
      </c>
      <c r="E286" s="217"/>
      <c r="F286" s="215">
        <f t="shared" si="31"/>
        <v>0</v>
      </c>
      <c r="G286" s="218"/>
    </row>
    <row r="287" spans="1:7" s="84" customFormat="1" ht="40.5">
      <c r="A287" s="198">
        <f t="shared" si="32"/>
        <v>24.140000000000022</v>
      </c>
      <c r="B287" s="216" t="s">
        <v>1718</v>
      </c>
      <c r="C287" s="213">
        <f>10*23.8*0.14+2.9*3.2*0.14</f>
        <v>34.619199999999999</v>
      </c>
      <c r="D287" s="192" t="s">
        <v>20</v>
      </c>
      <c r="E287" s="217"/>
      <c r="F287" s="215">
        <f t="shared" si="31"/>
        <v>0</v>
      </c>
      <c r="G287" s="218"/>
    </row>
    <row r="288" spans="1:7" ht="21" thickBot="1">
      <c r="A288" s="125"/>
      <c r="B288" s="131"/>
      <c r="C288" s="132"/>
      <c r="D288" s="126"/>
      <c r="E288" s="133"/>
      <c r="F288" s="127"/>
      <c r="G288" s="219">
        <f>SUM(F274:F287)</f>
        <v>0</v>
      </c>
    </row>
    <row r="289" spans="1:7" ht="21" thickBot="1">
      <c r="A289" s="178">
        <v>25</v>
      </c>
      <c r="B289" s="179" t="s">
        <v>22</v>
      </c>
      <c r="C289" s="180"/>
      <c r="D289" s="180"/>
      <c r="E289" s="180"/>
      <c r="F289" s="180"/>
      <c r="G289" s="181"/>
    </row>
    <row r="290" spans="1:7" ht="20.25">
      <c r="A290" s="209">
        <f>A289+0.01</f>
        <v>25.01</v>
      </c>
      <c r="B290" s="220" t="s">
        <v>1956</v>
      </c>
      <c r="C290" s="210">
        <f>memoria!$G$35</f>
        <v>296.34499999999997</v>
      </c>
      <c r="D290" s="221" t="s">
        <v>9</v>
      </c>
      <c r="E290" s="211"/>
      <c r="F290" s="212">
        <f>C290*E290</f>
        <v>0</v>
      </c>
      <c r="G290" s="218"/>
    </row>
    <row r="291" spans="1:7" ht="21" thickBot="1">
      <c r="A291" s="125"/>
      <c r="B291" s="135"/>
      <c r="C291" s="132"/>
      <c r="D291" s="134"/>
      <c r="E291" s="133"/>
      <c r="F291" s="127"/>
      <c r="G291" s="219">
        <f>SUM(F290:F290)</f>
        <v>0</v>
      </c>
    </row>
    <row r="292" spans="1:7" ht="21" thickBot="1">
      <c r="A292" s="178">
        <v>26</v>
      </c>
      <c r="B292" s="179" t="s">
        <v>2000</v>
      </c>
      <c r="C292" s="180"/>
      <c r="D292" s="180"/>
      <c r="E292" s="180"/>
      <c r="F292" s="180"/>
      <c r="G292" s="181"/>
    </row>
    <row r="293" spans="1:7" ht="20.25">
      <c r="A293" s="209">
        <f t="shared" ref="A293:A301" si="33">SUM(A292,0.01)</f>
        <v>26.01</v>
      </c>
      <c r="B293" s="220" t="s">
        <v>1719</v>
      </c>
      <c r="C293" s="210">
        <f>+C290*2</f>
        <v>592.68999999999994</v>
      </c>
      <c r="D293" s="221" t="s">
        <v>9</v>
      </c>
      <c r="E293" s="211"/>
      <c r="F293" s="212">
        <f t="shared" ref="F293:F301" si="34">C293*E293</f>
        <v>0</v>
      </c>
      <c r="G293" s="298"/>
    </row>
    <row r="294" spans="1:7" ht="20.25">
      <c r="A294" s="198">
        <f t="shared" si="33"/>
        <v>26.020000000000003</v>
      </c>
      <c r="B294" s="216" t="s">
        <v>1720</v>
      </c>
      <c r="C294" s="213">
        <f>+memoria!C35*0.2*2+memoria!I35*(0.2*2)</f>
        <v>55.760000000000005</v>
      </c>
      <c r="D294" s="222" t="s">
        <v>9</v>
      </c>
      <c r="E294" s="217"/>
      <c r="F294" s="215">
        <f t="shared" si="34"/>
        <v>0</v>
      </c>
      <c r="G294" s="223"/>
    </row>
    <row r="295" spans="1:7" ht="20.25">
      <c r="A295" s="198">
        <f t="shared" si="33"/>
        <v>26.030000000000005</v>
      </c>
      <c r="B295" s="216" t="s">
        <v>1721</v>
      </c>
      <c r="C295" s="213">
        <f>+C287/0.12</f>
        <v>288.49333333333334</v>
      </c>
      <c r="D295" s="222" t="s">
        <v>9</v>
      </c>
      <c r="E295" s="217"/>
      <c r="F295" s="215">
        <f t="shared" si="34"/>
        <v>0</v>
      </c>
      <c r="G295" s="223"/>
    </row>
    <row r="296" spans="1:7" ht="20.25">
      <c r="A296" s="198">
        <f t="shared" si="33"/>
        <v>26.040000000000006</v>
      </c>
      <c r="B296" s="216" t="s">
        <v>82</v>
      </c>
      <c r="C296" s="213">
        <f>+C294+C295</f>
        <v>344.25333333333333</v>
      </c>
      <c r="D296" s="222" t="s">
        <v>9</v>
      </c>
      <c r="E296" s="217"/>
      <c r="F296" s="215">
        <f t="shared" si="34"/>
        <v>0</v>
      </c>
      <c r="G296" s="223"/>
    </row>
    <row r="297" spans="1:7" ht="20.25">
      <c r="A297" s="198">
        <f t="shared" si="33"/>
        <v>26.050000000000008</v>
      </c>
      <c r="B297" s="216" t="s">
        <v>1722</v>
      </c>
      <c r="C297" s="213">
        <v>73</v>
      </c>
      <c r="D297" s="222" t="s">
        <v>14</v>
      </c>
      <c r="E297" s="217"/>
      <c r="F297" s="215">
        <f t="shared" si="34"/>
        <v>0</v>
      </c>
      <c r="G297" s="223"/>
    </row>
    <row r="298" spans="1:7" ht="20.25">
      <c r="A298" s="198">
        <f t="shared" si="33"/>
        <v>26.060000000000009</v>
      </c>
      <c r="B298" s="216" t="s">
        <v>64</v>
      </c>
      <c r="C298" s="213">
        <v>25</v>
      </c>
      <c r="D298" s="222" t="s">
        <v>14</v>
      </c>
      <c r="E298" s="224"/>
      <c r="F298" s="215">
        <f t="shared" si="34"/>
        <v>0</v>
      </c>
      <c r="G298" s="223"/>
    </row>
    <row r="299" spans="1:7" ht="20.25">
      <c r="A299" s="198">
        <f t="shared" si="33"/>
        <v>26.070000000000011</v>
      </c>
      <c r="B299" s="216" t="s">
        <v>1723</v>
      </c>
      <c r="C299" s="213">
        <v>14</v>
      </c>
      <c r="D299" s="222" t="s">
        <v>14</v>
      </c>
      <c r="E299" s="214"/>
      <c r="F299" s="215">
        <f t="shared" si="34"/>
        <v>0</v>
      </c>
      <c r="G299" s="225"/>
    </row>
    <row r="300" spans="1:7" ht="20.25">
      <c r="A300" s="198">
        <f t="shared" si="33"/>
        <v>26.080000000000013</v>
      </c>
      <c r="B300" s="216" t="s">
        <v>1724</v>
      </c>
      <c r="C300" s="213">
        <v>14</v>
      </c>
      <c r="D300" s="222" t="s">
        <v>9</v>
      </c>
      <c r="E300" s="214"/>
      <c r="F300" s="215">
        <f t="shared" si="34"/>
        <v>0</v>
      </c>
      <c r="G300" s="225"/>
    </row>
    <row r="301" spans="1:7" ht="20.25">
      <c r="A301" s="198">
        <f t="shared" si="33"/>
        <v>26.090000000000014</v>
      </c>
      <c r="B301" s="216" t="s">
        <v>1526</v>
      </c>
      <c r="C301" s="213">
        <v>1</v>
      </c>
      <c r="D301" s="222" t="s">
        <v>1712</v>
      </c>
      <c r="E301" s="217"/>
      <c r="F301" s="215">
        <f t="shared" si="34"/>
        <v>0</v>
      </c>
      <c r="G301" s="218"/>
    </row>
    <row r="302" spans="1:7" ht="21" thickBot="1">
      <c r="A302" s="125"/>
      <c r="B302" s="135"/>
      <c r="C302" s="132"/>
      <c r="D302" s="134"/>
      <c r="E302" s="133"/>
      <c r="F302" s="127"/>
      <c r="G302" s="219">
        <f>SUM(F293:F301)</f>
        <v>0</v>
      </c>
    </row>
    <row r="303" spans="1:7" ht="21" thickBot="1">
      <c r="A303" s="178">
        <v>27</v>
      </c>
      <c r="B303" s="179" t="s">
        <v>2001</v>
      </c>
      <c r="C303" s="180"/>
      <c r="D303" s="180"/>
      <c r="E303" s="180"/>
      <c r="F303" s="180"/>
      <c r="G303" s="181"/>
    </row>
    <row r="304" spans="1:7" ht="20.25">
      <c r="A304" s="182">
        <f>A303+0.01</f>
        <v>27.01</v>
      </c>
      <c r="B304" s="220" t="s">
        <v>1726</v>
      </c>
      <c r="C304" s="210">
        <v>244.38</v>
      </c>
      <c r="D304" s="221" t="s">
        <v>9</v>
      </c>
      <c r="E304" s="211"/>
      <c r="F304" s="212">
        <f>C304*E304</f>
        <v>0</v>
      </c>
      <c r="G304" s="218"/>
    </row>
    <row r="305" spans="1:11" ht="20.25">
      <c r="A305" s="189">
        <f t="shared" ref="A305:A308" si="35">+A304+0.01</f>
        <v>27.020000000000003</v>
      </c>
      <c r="B305" s="216" t="s">
        <v>1727</v>
      </c>
      <c r="C305" s="213">
        <f>13.3*12</f>
        <v>159.60000000000002</v>
      </c>
      <c r="D305" s="222" t="s">
        <v>9</v>
      </c>
      <c r="E305" s="217"/>
      <c r="F305" s="215">
        <f t="shared" ref="F305:F308" si="36">C305*E305</f>
        <v>0</v>
      </c>
      <c r="G305" s="218"/>
    </row>
    <row r="306" spans="1:11" ht="35.25" customHeight="1">
      <c r="A306" s="189">
        <f t="shared" si="35"/>
        <v>27.030000000000005</v>
      </c>
      <c r="B306" s="216" t="s">
        <v>1728</v>
      </c>
      <c r="C306" s="213">
        <v>2.9</v>
      </c>
      <c r="D306" s="222" t="s">
        <v>9</v>
      </c>
      <c r="E306" s="217"/>
      <c r="F306" s="215">
        <f t="shared" si="36"/>
        <v>0</v>
      </c>
      <c r="G306" s="218"/>
    </row>
    <row r="307" spans="1:11" ht="20.25">
      <c r="A307" s="189">
        <f t="shared" si="35"/>
        <v>27.040000000000006</v>
      </c>
      <c r="B307" s="216" t="s">
        <v>1729</v>
      </c>
      <c r="C307" s="213">
        <v>92</v>
      </c>
      <c r="D307" s="222" t="s">
        <v>78</v>
      </c>
      <c r="E307" s="217"/>
      <c r="F307" s="215">
        <f t="shared" si="36"/>
        <v>0</v>
      </c>
      <c r="G307" s="218"/>
    </row>
    <row r="308" spans="1:11" ht="20.25">
      <c r="A308" s="189">
        <f t="shared" si="35"/>
        <v>27.050000000000008</v>
      </c>
      <c r="B308" s="216" t="s">
        <v>1730</v>
      </c>
      <c r="C308" s="213">
        <v>3.4</v>
      </c>
      <c r="D308" s="222" t="s">
        <v>78</v>
      </c>
      <c r="E308" s="217"/>
      <c r="F308" s="215">
        <f t="shared" si="36"/>
        <v>0</v>
      </c>
      <c r="G308" s="218"/>
    </row>
    <row r="309" spans="1:11" ht="21" thickBot="1">
      <c r="A309" s="125"/>
      <c r="B309" s="135"/>
      <c r="C309" s="132"/>
      <c r="D309" s="134"/>
      <c r="E309" s="133"/>
      <c r="F309" s="127"/>
      <c r="G309" s="219">
        <f>SUM(F304:F308)</f>
        <v>0</v>
      </c>
    </row>
    <row r="310" spans="1:11" ht="21" thickBot="1">
      <c r="A310" s="178">
        <v>28</v>
      </c>
      <c r="B310" s="179" t="s">
        <v>1733</v>
      </c>
      <c r="C310" s="180"/>
      <c r="D310" s="180"/>
      <c r="E310" s="180"/>
      <c r="F310" s="180"/>
      <c r="G310" s="181"/>
    </row>
    <row r="311" spans="1:11" ht="40.5">
      <c r="A311" s="182">
        <f>+A310+0.01</f>
        <v>28.01</v>
      </c>
      <c r="B311" s="183" t="s">
        <v>1734</v>
      </c>
      <c r="C311" s="210">
        <f>6.8*3.1</f>
        <v>21.08</v>
      </c>
      <c r="D311" s="226" t="s">
        <v>9</v>
      </c>
      <c r="E311" s="227"/>
      <c r="F311" s="212">
        <f>+C311*E311</f>
        <v>0</v>
      </c>
      <c r="G311" s="225"/>
    </row>
    <row r="312" spans="1:11" ht="21" thickBot="1">
      <c r="A312" s="125"/>
      <c r="B312" s="135"/>
      <c r="C312" s="132"/>
      <c r="D312" s="139"/>
      <c r="E312" s="140"/>
      <c r="F312" s="127"/>
      <c r="G312" s="219">
        <f>SUM(F311)</f>
        <v>0</v>
      </c>
    </row>
    <row r="313" spans="1:11" ht="21" thickBot="1">
      <c r="A313" s="178">
        <v>29</v>
      </c>
      <c r="B313" s="179" t="s">
        <v>2002</v>
      </c>
      <c r="C313" s="180"/>
      <c r="D313" s="180"/>
      <c r="E313" s="180"/>
      <c r="F313" s="180"/>
      <c r="G313" s="181"/>
    </row>
    <row r="314" spans="1:11" ht="20.25">
      <c r="A314" s="209">
        <f>SUM(A313,0.01)</f>
        <v>29.01</v>
      </c>
      <c r="B314" s="220" t="s">
        <v>1735</v>
      </c>
      <c r="C314" s="210">
        <f>+C295</f>
        <v>288.49333333333334</v>
      </c>
      <c r="D314" s="221" t="s">
        <v>9</v>
      </c>
      <c r="E314" s="211"/>
      <c r="F314" s="212">
        <f>C314*E314</f>
        <v>0</v>
      </c>
      <c r="G314" s="223"/>
    </row>
    <row r="315" spans="1:11" ht="20.25">
      <c r="A315" s="198">
        <f>SUM(A314,0.01)</f>
        <v>29.020000000000003</v>
      </c>
      <c r="B315" s="216" t="s">
        <v>1736</v>
      </c>
      <c r="C315" s="213">
        <v>67.25</v>
      </c>
      <c r="D315" s="222" t="s">
        <v>14</v>
      </c>
      <c r="E315" s="217"/>
      <c r="F315" s="215">
        <f>C315*E315</f>
        <v>0</v>
      </c>
      <c r="G315" s="223"/>
      <c r="I315" s="96"/>
      <c r="K315" s="96"/>
    </row>
    <row r="316" spans="1:11" ht="20.25">
      <c r="A316" s="198">
        <f>SUM(A315,0.01)</f>
        <v>29.030000000000005</v>
      </c>
      <c r="B316" s="216" t="s">
        <v>1737</v>
      </c>
      <c r="C316" s="213">
        <f>+C315</f>
        <v>67.25</v>
      </c>
      <c r="D316" s="222" t="s">
        <v>14</v>
      </c>
      <c r="E316" s="217"/>
      <c r="F316" s="215">
        <f>C316*E316</f>
        <v>0</v>
      </c>
      <c r="G316" s="223"/>
    </row>
    <row r="317" spans="1:11" ht="20.25">
      <c r="A317" s="198">
        <f>SUM(A316,0.01)</f>
        <v>29.040000000000006</v>
      </c>
      <c r="B317" s="216" t="s">
        <v>66</v>
      </c>
      <c r="C317" s="213">
        <f>23.8*9.8+2.9*3.2</f>
        <v>242.52000000000004</v>
      </c>
      <c r="D317" s="222" t="s">
        <v>9</v>
      </c>
      <c r="E317" s="217"/>
      <c r="F317" s="215">
        <f>C317*E317</f>
        <v>0</v>
      </c>
      <c r="G317" s="223"/>
    </row>
    <row r="318" spans="1:11" ht="21" thickBot="1">
      <c r="A318" s="125"/>
      <c r="B318" s="135"/>
      <c r="C318" s="132"/>
      <c r="D318" s="134"/>
      <c r="E318" s="133"/>
      <c r="F318" s="127"/>
      <c r="G318" s="219">
        <f>SUM(F314:F317)</f>
        <v>0</v>
      </c>
      <c r="I318" s="96"/>
    </row>
    <row r="319" spans="1:11" ht="21" thickBot="1">
      <c r="A319" s="178">
        <v>30</v>
      </c>
      <c r="B319" s="179" t="s">
        <v>29</v>
      </c>
      <c r="C319" s="180"/>
      <c r="D319" s="180"/>
      <c r="E319" s="180"/>
      <c r="F319" s="180"/>
      <c r="G319" s="181"/>
    </row>
    <row r="320" spans="1:11" ht="20.25">
      <c r="A320" s="182">
        <f t="shared" ref="A320:A323" si="37">+A319+0.01</f>
        <v>30.01</v>
      </c>
      <c r="B320" s="220" t="s">
        <v>1738</v>
      </c>
      <c r="C320" s="210">
        <f>2.8*2.1*10.76</f>
        <v>63.268799999999999</v>
      </c>
      <c r="D320" s="226" t="s">
        <v>30</v>
      </c>
      <c r="E320" s="227"/>
      <c r="F320" s="212">
        <f t="shared" ref="F320:F323" si="38">+C320*E320</f>
        <v>0</v>
      </c>
      <c r="G320" s="218"/>
    </row>
    <row r="321" spans="1:7" ht="20.25">
      <c r="A321" s="189">
        <f t="shared" si="37"/>
        <v>30.020000000000003</v>
      </c>
      <c r="B321" s="216" t="s">
        <v>1929</v>
      </c>
      <c r="C321" s="213">
        <v>1</v>
      </c>
      <c r="D321" s="228" t="s">
        <v>39</v>
      </c>
      <c r="E321" s="229"/>
      <c r="F321" s="215">
        <f t="shared" si="38"/>
        <v>0</v>
      </c>
      <c r="G321" s="218"/>
    </row>
    <row r="322" spans="1:7" ht="20.25">
      <c r="A322" s="189">
        <f t="shared" si="37"/>
        <v>30.030000000000005</v>
      </c>
      <c r="B322" s="216" t="s">
        <v>1739</v>
      </c>
      <c r="C322" s="213">
        <v>4</v>
      </c>
      <c r="D322" s="228" t="s">
        <v>39</v>
      </c>
      <c r="E322" s="229"/>
      <c r="F322" s="215">
        <f t="shared" si="38"/>
        <v>0</v>
      </c>
      <c r="G322" s="218"/>
    </row>
    <row r="323" spans="1:7" ht="20.25">
      <c r="A323" s="189">
        <f t="shared" si="37"/>
        <v>30.040000000000006</v>
      </c>
      <c r="B323" s="216" t="s">
        <v>1740</v>
      </c>
      <c r="C323" s="213">
        <v>1</v>
      </c>
      <c r="D323" s="228" t="s">
        <v>39</v>
      </c>
      <c r="E323" s="229"/>
      <c r="F323" s="215">
        <f t="shared" si="38"/>
        <v>0</v>
      </c>
      <c r="G323" s="218"/>
    </row>
    <row r="324" spans="1:7" ht="21" thickBot="1">
      <c r="A324" s="125"/>
      <c r="B324" s="135"/>
      <c r="C324" s="142"/>
      <c r="D324" s="139"/>
      <c r="E324" s="143"/>
      <c r="F324" s="127"/>
      <c r="G324" s="219">
        <f>SUM(F320:F323)</f>
        <v>0</v>
      </c>
    </row>
    <row r="325" spans="1:7" ht="21" thickBot="1">
      <c r="A325" s="178">
        <v>31</v>
      </c>
      <c r="B325" s="179" t="s">
        <v>32</v>
      </c>
      <c r="C325" s="180"/>
      <c r="D325" s="180"/>
      <c r="E325" s="180"/>
      <c r="F325" s="180"/>
      <c r="G325" s="181"/>
    </row>
    <row r="326" spans="1:7" ht="40.5">
      <c r="A326" s="182">
        <f>+A325+0.01</f>
        <v>31.01</v>
      </c>
      <c r="B326" s="183" t="s">
        <v>1741</v>
      </c>
      <c r="C326" s="210">
        <f>1*4.8*1.5*10.76+3*2.4*1.5*10.76</f>
        <v>193.67999999999998</v>
      </c>
      <c r="D326" s="221" t="s">
        <v>30</v>
      </c>
      <c r="E326" s="230"/>
      <c r="F326" s="212">
        <f>C326*E326</f>
        <v>0</v>
      </c>
      <c r="G326" s="218"/>
    </row>
    <row r="327" spans="1:7" ht="20.25">
      <c r="A327" s="189">
        <f>+A326+0.01</f>
        <v>31.020000000000003</v>
      </c>
      <c r="B327" s="190" t="s">
        <v>1931</v>
      </c>
      <c r="C327" s="213">
        <f>9.3*2.1*10.76</f>
        <v>210.14279999999999</v>
      </c>
      <c r="D327" s="222" t="s">
        <v>30</v>
      </c>
      <c r="E327" s="214"/>
      <c r="F327" s="215">
        <f>C327*E327</f>
        <v>0</v>
      </c>
      <c r="G327" s="218"/>
    </row>
    <row r="328" spans="1:7" ht="20.25">
      <c r="A328" s="189">
        <f>+A327+0.01</f>
        <v>31.030000000000005</v>
      </c>
      <c r="B328" s="216" t="s">
        <v>1744</v>
      </c>
      <c r="C328" s="213">
        <f>SUM(C326:C327)</f>
        <v>403.82279999999997</v>
      </c>
      <c r="D328" s="222" t="s">
        <v>30</v>
      </c>
      <c r="E328" s="217"/>
      <c r="F328" s="215">
        <f>C328*E328</f>
        <v>0</v>
      </c>
      <c r="G328" s="218"/>
    </row>
    <row r="329" spans="1:7" ht="20.25">
      <c r="A329" s="189">
        <f>+A328+0.01</f>
        <v>31.040000000000006</v>
      </c>
      <c r="B329" s="190" t="s">
        <v>1938</v>
      </c>
      <c r="C329" s="213">
        <f>1*1*10.76</f>
        <v>10.76</v>
      </c>
      <c r="D329" s="222" t="s">
        <v>30</v>
      </c>
      <c r="E329" s="214"/>
      <c r="F329" s="215">
        <f>C329*E329</f>
        <v>0</v>
      </c>
      <c r="G329" s="218"/>
    </row>
    <row r="330" spans="1:7" ht="21" thickBot="1">
      <c r="A330" s="125"/>
      <c r="B330" s="135"/>
      <c r="C330" s="132"/>
      <c r="D330" s="134"/>
      <c r="E330" s="133"/>
      <c r="F330" s="127"/>
      <c r="G330" s="219">
        <f>SUM(F326:F329)</f>
        <v>0</v>
      </c>
    </row>
    <row r="331" spans="1:7" ht="21" thickBot="1">
      <c r="A331" s="178">
        <v>32</v>
      </c>
      <c r="B331" s="179" t="s">
        <v>2008</v>
      </c>
      <c r="C331" s="180"/>
      <c r="D331" s="180"/>
      <c r="E331" s="180"/>
      <c r="F331" s="180"/>
      <c r="G331" s="181"/>
    </row>
    <row r="332" spans="1:7" ht="20.25">
      <c r="A332" s="182">
        <f>SUM(A331,0.01)</f>
        <v>32.01</v>
      </c>
      <c r="B332" s="220" t="s">
        <v>1745</v>
      </c>
      <c r="C332" s="210">
        <f>+(2.4*2*3.281+3*3.281)*(0.6*3.281)</f>
        <v>50.380017479999999</v>
      </c>
      <c r="D332" s="221" t="s">
        <v>30</v>
      </c>
      <c r="E332" s="211"/>
      <c r="F332" s="212">
        <f>C332*E332</f>
        <v>0</v>
      </c>
      <c r="G332" s="223"/>
    </row>
    <row r="333" spans="1:7" ht="20.25">
      <c r="A333" s="189">
        <f>SUM(A332,0.01)</f>
        <v>32.019999999999996</v>
      </c>
      <c r="B333" s="216" t="s">
        <v>1746</v>
      </c>
      <c r="C333" s="213">
        <f>+(1.8+2.4)*3.281</f>
        <v>13.780200000000001</v>
      </c>
      <c r="D333" s="222" t="s">
        <v>28</v>
      </c>
      <c r="E333" s="217"/>
      <c r="F333" s="215">
        <f>C333*E333</f>
        <v>0</v>
      </c>
      <c r="G333" s="223"/>
    </row>
    <row r="334" spans="1:7" ht="20.25">
      <c r="A334" s="189">
        <f>SUM(A333,0.01)</f>
        <v>32.029999999999994</v>
      </c>
      <c r="B334" s="216" t="s">
        <v>1747</v>
      </c>
      <c r="C334" s="213">
        <f>+(1.8+2.4)*3.281</f>
        <v>13.780200000000001</v>
      </c>
      <c r="D334" s="222" t="s">
        <v>28</v>
      </c>
      <c r="E334" s="217"/>
      <c r="F334" s="215">
        <f>C334*E334</f>
        <v>0</v>
      </c>
      <c r="G334" s="218"/>
    </row>
    <row r="335" spans="1:7" ht="40.5">
      <c r="A335" s="189">
        <f>SUM(A334,0.01)</f>
        <v>32.039999999999992</v>
      </c>
      <c r="B335" s="216" t="s">
        <v>1748</v>
      </c>
      <c r="C335" s="213">
        <f>+(2.4+1.8+6.9)*3.1</f>
        <v>34.410000000000004</v>
      </c>
      <c r="D335" s="228" t="s">
        <v>9</v>
      </c>
      <c r="E335" s="256"/>
      <c r="F335" s="215">
        <f>+C335*E335</f>
        <v>0</v>
      </c>
      <c r="G335" s="218"/>
    </row>
    <row r="336" spans="1:7" ht="21" thickBot="1">
      <c r="A336" s="125"/>
      <c r="B336" s="135"/>
      <c r="C336" s="132"/>
      <c r="D336" s="134"/>
      <c r="E336" s="133"/>
      <c r="F336" s="127"/>
      <c r="G336" s="219">
        <f>SUM(F332:F335)</f>
        <v>0</v>
      </c>
    </row>
    <row r="337" spans="1:7" ht="21" thickBot="1">
      <c r="A337" s="178">
        <v>33</v>
      </c>
      <c r="B337" s="179" t="s">
        <v>1749</v>
      </c>
      <c r="C337" s="180"/>
      <c r="D337" s="180"/>
      <c r="E337" s="180"/>
      <c r="F337" s="180"/>
      <c r="G337" s="181"/>
    </row>
    <row r="338" spans="1:7" ht="20.25">
      <c r="A338" s="209">
        <f>+A337+0.01</f>
        <v>33.01</v>
      </c>
      <c r="B338" s="220" t="s">
        <v>35</v>
      </c>
      <c r="C338" s="210">
        <f>+C293+C294+C295</f>
        <v>936.94333333333327</v>
      </c>
      <c r="D338" s="226" t="s">
        <v>9</v>
      </c>
      <c r="E338" s="231"/>
      <c r="F338" s="212">
        <f>+C338*E338</f>
        <v>0</v>
      </c>
      <c r="G338" s="218"/>
    </row>
    <row r="339" spans="1:7" ht="20.25">
      <c r="A339" s="198">
        <f>+A338+0.01</f>
        <v>33.019999999999996</v>
      </c>
      <c r="B339" s="216" t="s">
        <v>1750</v>
      </c>
      <c r="C339" s="213">
        <f>+C294+C293</f>
        <v>648.44999999999993</v>
      </c>
      <c r="D339" s="228" t="s">
        <v>9</v>
      </c>
      <c r="E339" s="229"/>
      <c r="F339" s="215">
        <f>+C339*E339</f>
        <v>0</v>
      </c>
      <c r="G339" s="218"/>
    </row>
    <row r="340" spans="1:7" ht="20.25">
      <c r="A340" s="198">
        <f>+A339+0.01</f>
        <v>33.029999999999994</v>
      </c>
      <c r="B340" s="216" t="s">
        <v>1751</v>
      </c>
      <c r="C340" s="213">
        <f>+C295</f>
        <v>288.49333333333334</v>
      </c>
      <c r="D340" s="228" t="s">
        <v>9</v>
      </c>
      <c r="E340" s="229"/>
      <c r="F340" s="215">
        <f>+C340*E340</f>
        <v>0</v>
      </c>
      <c r="G340" s="225"/>
    </row>
    <row r="341" spans="1:7" ht="21" thickBot="1">
      <c r="A341" s="125"/>
      <c r="B341" s="135"/>
      <c r="C341" s="142"/>
      <c r="D341" s="139"/>
      <c r="E341" s="143"/>
      <c r="F341" s="127"/>
      <c r="G341" s="219">
        <f>SUM(F338:F340)</f>
        <v>0</v>
      </c>
    </row>
    <row r="342" spans="1:7" ht="21" thickBot="1">
      <c r="A342" s="178">
        <v>34</v>
      </c>
      <c r="B342" s="179" t="s">
        <v>37</v>
      </c>
      <c r="C342" s="180"/>
      <c r="D342" s="180"/>
      <c r="E342" s="180"/>
      <c r="F342" s="180"/>
      <c r="G342" s="181"/>
    </row>
    <row r="343" spans="1:7" ht="40.5">
      <c r="A343" s="182">
        <f>SUM(A342,0.01)</f>
        <v>34.01</v>
      </c>
      <c r="B343" s="183" t="s">
        <v>1752</v>
      </c>
      <c r="C343" s="210">
        <v>1</v>
      </c>
      <c r="D343" s="221" t="s">
        <v>39</v>
      </c>
      <c r="E343" s="211"/>
      <c r="F343" s="212">
        <f>+C343*E343</f>
        <v>0</v>
      </c>
      <c r="G343" s="218"/>
    </row>
    <row r="344" spans="1:7" ht="40.5">
      <c r="A344" s="189">
        <f t="shared" ref="A344:A350" si="39">SUM(A343,0.01)</f>
        <v>34.019999999999996</v>
      </c>
      <c r="B344" s="190" t="s">
        <v>1753</v>
      </c>
      <c r="C344" s="213">
        <v>1</v>
      </c>
      <c r="D344" s="222" t="s">
        <v>39</v>
      </c>
      <c r="E344" s="217"/>
      <c r="F344" s="215">
        <f t="shared" ref="F344:F346" si="40">+C344*E344</f>
        <v>0</v>
      </c>
      <c r="G344" s="218"/>
    </row>
    <row r="345" spans="1:7" ht="40.5">
      <c r="A345" s="189">
        <f t="shared" si="39"/>
        <v>34.029999999999994</v>
      </c>
      <c r="B345" s="190" t="s">
        <v>1754</v>
      </c>
      <c r="C345" s="213">
        <v>1</v>
      </c>
      <c r="D345" s="222" t="s">
        <v>39</v>
      </c>
      <c r="E345" s="214"/>
      <c r="F345" s="215">
        <f t="shared" si="40"/>
        <v>0</v>
      </c>
      <c r="G345" s="218"/>
    </row>
    <row r="346" spans="1:7" ht="20.25">
      <c r="A346" s="189">
        <f t="shared" si="39"/>
        <v>34.039999999999992</v>
      </c>
      <c r="B346" s="216" t="s">
        <v>1755</v>
      </c>
      <c r="C346" s="213">
        <v>1</v>
      </c>
      <c r="D346" s="222" t="s">
        <v>1756</v>
      </c>
      <c r="E346" s="217"/>
      <c r="F346" s="215">
        <f t="shared" si="40"/>
        <v>0</v>
      </c>
      <c r="G346" s="218"/>
    </row>
    <row r="347" spans="1:7" ht="20.25">
      <c r="A347" s="189">
        <f t="shared" si="39"/>
        <v>34.04999999999999</v>
      </c>
      <c r="B347" s="216" t="s">
        <v>1757</v>
      </c>
      <c r="C347" s="213">
        <v>5</v>
      </c>
      <c r="D347" s="222" t="s">
        <v>39</v>
      </c>
      <c r="E347" s="217"/>
      <c r="F347" s="215">
        <f>C347*E347</f>
        <v>0</v>
      </c>
      <c r="G347" s="218"/>
    </row>
    <row r="348" spans="1:7" ht="20.25">
      <c r="A348" s="189">
        <f t="shared" si="39"/>
        <v>34.059999999999988</v>
      </c>
      <c r="B348" s="190" t="s">
        <v>1758</v>
      </c>
      <c r="C348" s="213">
        <v>1</v>
      </c>
      <c r="D348" s="222" t="s">
        <v>39</v>
      </c>
      <c r="E348" s="217"/>
      <c r="F348" s="215">
        <f t="shared" ref="F348:F349" si="41">+C348*E348</f>
        <v>0</v>
      </c>
      <c r="G348" s="218"/>
    </row>
    <row r="349" spans="1:7" ht="20.25">
      <c r="A349" s="189">
        <f t="shared" si="39"/>
        <v>34.069999999999986</v>
      </c>
      <c r="B349" s="190" t="s">
        <v>1759</v>
      </c>
      <c r="C349" s="213">
        <v>2</v>
      </c>
      <c r="D349" s="222" t="s">
        <v>39</v>
      </c>
      <c r="E349" s="217"/>
      <c r="F349" s="215">
        <f t="shared" si="41"/>
        <v>0</v>
      </c>
      <c r="G349" s="218"/>
    </row>
    <row r="350" spans="1:7" ht="20.25">
      <c r="A350" s="189">
        <f t="shared" si="39"/>
        <v>34.079999999999984</v>
      </c>
      <c r="B350" s="216" t="s">
        <v>1764</v>
      </c>
      <c r="C350" s="213">
        <v>1</v>
      </c>
      <c r="D350" s="222" t="s">
        <v>39</v>
      </c>
      <c r="E350" s="234"/>
      <c r="F350" s="215">
        <f>+C350*E350</f>
        <v>0</v>
      </c>
      <c r="G350" s="218"/>
    </row>
    <row r="351" spans="1:7" ht="21" thickBot="1">
      <c r="A351" s="125"/>
      <c r="B351" s="135"/>
      <c r="C351" s="132"/>
      <c r="D351" s="134"/>
      <c r="E351" s="133"/>
      <c r="F351" s="127"/>
      <c r="G351" s="219">
        <f>SUM(F343:F350)</f>
        <v>0</v>
      </c>
    </row>
    <row r="352" spans="1:7" ht="21" thickBot="1">
      <c r="A352" s="178">
        <v>35</v>
      </c>
      <c r="B352" s="179" t="s">
        <v>2004</v>
      </c>
      <c r="C352" s="180"/>
      <c r="D352" s="180"/>
      <c r="E352" s="180"/>
      <c r="F352" s="180"/>
      <c r="G352" s="181"/>
    </row>
    <row r="353" spans="1:7" ht="20.25">
      <c r="A353" s="182">
        <f>+A352+0.01</f>
        <v>35.01</v>
      </c>
      <c r="B353" s="220" t="s">
        <v>1791</v>
      </c>
      <c r="C353" s="210">
        <v>12</v>
      </c>
      <c r="D353" s="221" t="s">
        <v>39</v>
      </c>
      <c r="E353" s="255"/>
      <c r="F353" s="212">
        <f>+C353*E353</f>
        <v>0</v>
      </c>
      <c r="G353" s="218"/>
    </row>
    <row r="354" spans="1:7" ht="27.75" customHeight="1">
      <c r="A354" s="189">
        <f t="shared" ref="A354:A366" si="42">+A353+0.01</f>
        <v>35.019999999999996</v>
      </c>
      <c r="B354" s="216" t="s">
        <v>1792</v>
      </c>
      <c r="C354" s="213">
        <v>12</v>
      </c>
      <c r="D354" s="222" t="s">
        <v>39</v>
      </c>
      <c r="E354" s="256"/>
      <c r="F354" s="215">
        <f t="shared" ref="F354:F365" si="43">+C354*E354</f>
        <v>0</v>
      </c>
      <c r="G354" s="218"/>
    </row>
    <row r="355" spans="1:7" ht="20.25">
      <c r="A355" s="198">
        <f t="shared" si="42"/>
        <v>35.029999999999994</v>
      </c>
      <c r="B355" s="216" t="s">
        <v>1793</v>
      </c>
      <c r="C355" s="213">
        <v>15</v>
      </c>
      <c r="D355" s="222" t="s">
        <v>39</v>
      </c>
      <c r="E355" s="256"/>
      <c r="F355" s="215">
        <f t="shared" si="43"/>
        <v>0</v>
      </c>
      <c r="G355" s="218"/>
    </row>
    <row r="356" spans="1:7" ht="20.25">
      <c r="A356" s="198">
        <f t="shared" si="42"/>
        <v>35.039999999999992</v>
      </c>
      <c r="B356" s="216" t="s">
        <v>1794</v>
      </c>
      <c r="C356" s="213">
        <v>8</v>
      </c>
      <c r="D356" s="222" t="s">
        <v>39</v>
      </c>
      <c r="E356" s="256"/>
      <c r="F356" s="215">
        <f t="shared" si="43"/>
        <v>0</v>
      </c>
      <c r="G356" s="218"/>
    </row>
    <row r="357" spans="1:7" ht="20.25">
      <c r="A357" s="198">
        <f t="shared" si="42"/>
        <v>35.04999999999999</v>
      </c>
      <c r="B357" s="216" t="s">
        <v>1795</v>
      </c>
      <c r="C357" s="213">
        <v>6</v>
      </c>
      <c r="D357" s="222" t="s">
        <v>39</v>
      </c>
      <c r="E357" s="256"/>
      <c r="F357" s="215">
        <f t="shared" si="43"/>
        <v>0</v>
      </c>
      <c r="G357" s="225"/>
    </row>
    <row r="358" spans="1:7" ht="20.25">
      <c r="A358" s="198">
        <f t="shared" si="42"/>
        <v>35.059999999999988</v>
      </c>
      <c r="B358" s="216" t="s">
        <v>1796</v>
      </c>
      <c r="C358" s="213">
        <v>4</v>
      </c>
      <c r="D358" s="222" t="s">
        <v>39</v>
      </c>
      <c r="E358" s="256"/>
      <c r="F358" s="215">
        <f t="shared" si="43"/>
        <v>0</v>
      </c>
      <c r="G358" s="225"/>
    </row>
    <row r="359" spans="1:7" ht="20.25">
      <c r="A359" s="198">
        <f t="shared" si="42"/>
        <v>35.069999999999986</v>
      </c>
      <c r="B359" s="216" t="s">
        <v>1797</v>
      </c>
      <c r="C359" s="213">
        <v>20</v>
      </c>
      <c r="D359" s="222" t="s">
        <v>39</v>
      </c>
      <c r="E359" s="257"/>
      <c r="F359" s="215">
        <f t="shared" si="43"/>
        <v>0</v>
      </c>
      <c r="G359" s="225"/>
    </row>
    <row r="360" spans="1:7" ht="20.25">
      <c r="A360" s="198">
        <f t="shared" si="42"/>
        <v>35.079999999999984</v>
      </c>
      <c r="B360" s="216" t="s">
        <v>1798</v>
      </c>
      <c r="C360" s="213">
        <v>4</v>
      </c>
      <c r="D360" s="222" t="s">
        <v>39</v>
      </c>
      <c r="E360" s="257"/>
      <c r="F360" s="215">
        <f t="shared" si="43"/>
        <v>0</v>
      </c>
      <c r="G360" s="225"/>
    </row>
    <row r="361" spans="1:7" ht="20.25">
      <c r="A361" s="198">
        <f t="shared" si="42"/>
        <v>35.089999999999982</v>
      </c>
      <c r="B361" s="216" t="s">
        <v>1799</v>
      </c>
      <c r="C361" s="213">
        <v>2</v>
      </c>
      <c r="D361" s="222" t="s">
        <v>39</v>
      </c>
      <c r="E361" s="257"/>
      <c r="F361" s="215">
        <f t="shared" si="43"/>
        <v>0</v>
      </c>
      <c r="G361" s="225"/>
    </row>
    <row r="362" spans="1:7" ht="20.25">
      <c r="A362" s="198">
        <f t="shared" si="42"/>
        <v>35.09999999999998</v>
      </c>
      <c r="B362" s="216" t="s">
        <v>1800</v>
      </c>
      <c r="C362" s="213">
        <v>2</v>
      </c>
      <c r="D362" s="222" t="s">
        <v>39</v>
      </c>
      <c r="E362" s="257"/>
      <c r="F362" s="215">
        <f t="shared" si="43"/>
        <v>0</v>
      </c>
      <c r="G362" s="225"/>
    </row>
    <row r="363" spans="1:7" ht="20.25">
      <c r="A363" s="198">
        <f t="shared" si="42"/>
        <v>35.109999999999978</v>
      </c>
      <c r="B363" s="216" t="s">
        <v>1801</v>
      </c>
      <c r="C363" s="213">
        <v>1</v>
      </c>
      <c r="D363" s="222" t="s">
        <v>39</v>
      </c>
      <c r="E363" s="257"/>
      <c r="F363" s="215">
        <f t="shared" si="43"/>
        <v>0</v>
      </c>
      <c r="G363" s="225"/>
    </row>
    <row r="364" spans="1:7" ht="20.25">
      <c r="A364" s="198">
        <f t="shared" si="42"/>
        <v>35.119999999999976</v>
      </c>
      <c r="B364" s="216" t="s">
        <v>1802</v>
      </c>
      <c r="C364" s="213">
        <v>1</v>
      </c>
      <c r="D364" s="222" t="s">
        <v>56</v>
      </c>
      <c r="E364" s="257"/>
      <c r="F364" s="215">
        <f t="shared" si="43"/>
        <v>0</v>
      </c>
      <c r="G364" s="225"/>
    </row>
    <row r="365" spans="1:7" ht="20.25">
      <c r="A365" s="198">
        <f t="shared" si="42"/>
        <v>35.129999999999974</v>
      </c>
      <c r="B365" s="216" t="s">
        <v>1803</v>
      </c>
      <c r="C365" s="213">
        <v>1</v>
      </c>
      <c r="D365" s="222" t="s">
        <v>56</v>
      </c>
      <c r="E365" s="258"/>
      <c r="F365" s="215">
        <f t="shared" si="43"/>
        <v>0</v>
      </c>
      <c r="G365" s="218"/>
    </row>
    <row r="366" spans="1:7" ht="20.25">
      <c r="A366" s="198">
        <f t="shared" si="42"/>
        <v>35.139999999999972</v>
      </c>
      <c r="B366" s="216" t="s">
        <v>1804</v>
      </c>
      <c r="C366" s="213">
        <v>25</v>
      </c>
      <c r="D366" s="222" t="s">
        <v>47</v>
      </c>
      <c r="E366" s="258"/>
      <c r="F366" s="215">
        <f>+E366*C366%</f>
        <v>0</v>
      </c>
      <c r="G366" s="218"/>
    </row>
    <row r="367" spans="1:7" ht="21" thickBot="1">
      <c r="A367" s="125"/>
      <c r="B367" s="135"/>
      <c r="C367" s="138"/>
      <c r="D367" s="134"/>
      <c r="E367" s="153"/>
      <c r="F367" s="127"/>
      <c r="G367" s="219">
        <f>SUM(F353:F366)</f>
        <v>0</v>
      </c>
    </row>
    <row r="368" spans="1:7" ht="21" thickBot="1">
      <c r="A368" s="178">
        <v>36</v>
      </c>
      <c r="B368" s="179" t="s">
        <v>1983</v>
      </c>
      <c r="C368" s="180"/>
      <c r="D368" s="180"/>
      <c r="E368" s="180"/>
      <c r="F368" s="180"/>
      <c r="G368" s="181"/>
    </row>
    <row r="369" spans="1:7" ht="20.25">
      <c r="A369" s="182">
        <f>+A368+0.01</f>
        <v>36.01</v>
      </c>
      <c r="B369" s="220" t="s">
        <v>1984</v>
      </c>
      <c r="C369" s="210">
        <v>1</v>
      </c>
      <c r="D369" s="221" t="s">
        <v>1712</v>
      </c>
      <c r="E369" s="255"/>
      <c r="F369" s="212">
        <f>+C369*E369</f>
        <v>0</v>
      </c>
      <c r="G369" s="218"/>
    </row>
    <row r="370" spans="1:7" ht="21" thickBot="1">
      <c r="A370" s="125"/>
      <c r="B370" s="135"/>
      <c r="C370" s="138"/>
      <c r="D370" s="134"/>
      <c r="E370" s="153"/>
      <c r="F370" s="127"/>
      <c r="G370" s="219">
        <f>+F369</f>
        <v>0</v>
      </c>
    </row>
    <row r="371" spans="1:7" ht="21" thickBot="1">
      <c r="A371" s="125"/>
      <c r="B371" s="135"/>
      <c r="C371" s="138"/>
      <c r="D371" s="134"/>
      <c r="E371" s="153"/>
      <c r="F371" s="127"/>
      <c r="G371" s="130"/>
    </row>
    <row r="372" spans="1:7" ht="21" thickBot="1">
      <c r="A372" s="358" t="s">
        <v>1830</v>
      </c>
      <c r="B372" s="359"/>
      <c r="C372" s="359"/>
      <c r="D372" s="359"/>
      <c r="E372" s="359"/>
      <c r="F372" s="359"/>
      <c r="G372" s="294">
        <f>SUM(F22:F370)</f>
        <v>0</v>
      </c>
    </row>
    <row r="373" spans="1:7" ht="21" thickBot="1">
      <c r="A373" s="161"/>
      <c r="B373" s="162"/>
      <c r="C373" s="162"/>
      <c r="D373" s="162"/>
      <c r="E373" s="162"/>
      <c r="F373" s="162"/>
      <c r="G373" s="158"/>
    </row>
    <row r="374" spans="1:7" ht="21" thickBot="1">
      <c r="A374" s="178">
        <v>37</v>
      </c>
      <c r="B374" s="179" t="s">
        <v>91</v>
      </c>
      <c r="C374" s="180"/>
      <c r="D374" s="180"/>
      <c r="E374" s="180"/>
      <c r="F374" s="180"/>
      <c r="G374" s="181"/>
    </row>
    <row r="375" spans="1:7" ht="20.25">
      <c r="A375" s="209">
        <f>+A374+0.01</f>
        <v>37.01</v>
      </c>
      <c r="B375" s="299" t="s">
        <v>92</v>
      </c>
      <c r="C375" s="300">
        <v>10</v>
      </c>
      <c r="D375" s="301" t="s">
        <v>47</v>
      </c>
      <c r="E375" s="300"/>
      <c r="F375" s="302"/>
      <c r="G375" s="303">
        <f t="shared" ref="G375:G382" si="44">C375%*$G$372</f>
        <v>0</v>
      </c>
    </row>
    <row r="376" spans="1:7" ht="20.25">
      <c r="A376" s="209">
        <f t="shared" ref="A376:A383" si="45">+A375+0.01</f>
        <v>37.019999999999996</v>
      </c>
      <c r="B376" s="304" t="s">
        <v>93</v>
      </c>
      <c r="C376" s="305">
        <v>3</v>
      </c>
      <c r="D376" s="306" t="s">
        <v>47</v>
      </c>
      <c r="E376" s="305"/>
      <c r="F376" s="307"/>
      <c r="G376" s="308">
        <f t="shared" si="44"/>
        <v>0</v>
      </c>
    </row>
    <row r="377" spans="1:7" ht="20.25">
      <c r="A377" s="209">
        <f t="shared" si="45"/>
        <v>37.029999999999994</v>
      </c>
      <c r="B377" s="304" t="s">
        <v>94</v>
      </c>
      <c r="C377" s="305">
        <v>4</v>
      </c>
      <c r="D377" s="306" t="s">
        <v>47</v>
      </c>
      <c r="E377" s="305"/>
      <c r="F377" s="307"/>
      <c r="G377" s="308">
        <f t="shared" si="44"/>
        <v>0</v>
      </c>
    </row>
    <row r="378" spans="1:7" ht="20.25">
      <c r="A378" s="209">
        <f t="shared" si="45"/>
        <v>37.039999999999992</v>
      </c>
      <c r="B378" s="304" t="s">
        <v>1831</v>
      </c>
      <c r="C378" s="305">
        <v>1</v>
      </c>
      <c r="D378" s="306" t="s">
        <v>47</v>
      </c>
      <c r="E378" s="305"/>
      <c r="F378" s="307"/>
      <c r="G378" s="308">
        <f t="shared" si="44"/>
        <v>0</v>
      </c>
    </row>
    <row r="379" spans="1:7" ht="20.25">
      <c r="A379" s="209">
        <f t="shared" si="45"/>
        <v>37.04999999999999</v>
      </c>
      <c r="B379" s="304" t="s">
        <v>95</v>
      </c>
      <c r="C379" s="305">
        <v>0.1</v>
      </c>
      <c r="D379" s="306" t="s">
        <v>47</v>
      </c>
      <c r="E379" s="305"/>
      <c r="F379" s="307"/>
      <c r="G379" s="308">
        <f t="shared" si="44"/>
        <v>0</v>
      </c>
    </row>
    <row r="380" spans="1:7" ht="20.25">
      <c r="A380" s="209">
        <f t="shared" si="45"/>
        <v>37.059999999999988</v>
      </c>
      <c r="B380" s="304" t="s">
        <v>96</v>
      </c>
      <c r="C380" s="305">
        <v>2.5</v>
      </c>
      <c r="D380" s="306" t="s">
        <v>47</v>
      </c>
      <c r="E380" s="305"/>
      <c r="F380" s="307"/>
      <c r="G380" s="308">
        <f t="shared" si="44"/>
        <v>0</v>
      </c>
    </row>
    <row r="381" spans="1:7" ht="20.25">
      <c r="A381" s="209">
        <f t="shared" si="45"/>
        <v>37.069999999999986</v>
      </c>
      <c r="B381" s="304" t="s">
        <v>1832</v>
      </c>
      <c r="C381" s="305">
        <v>5</v>
      </c>
      <c r="D381" s="306" t="s">
        <v>47</v>
      </c>
      <c r="E381" s="305"/>
      <c r="F381" s="307"/>
      <c r="G381" s="308">
        <f t="shared" si="44"/>
        <v>0</v>
      </c>
    </row>
    <row r="382" spans="1:7" ht="20.25">
      <c r="A382" s="209">
        <f t="shared" si="45"/>
        <v>37.079999999999984</v>
      </c>
      <c r="B382" s="304" t="s">
        <v>1833</v>
      </c>
      <c r="C382" s="305">
        <v>5</v>
      </c>
      <c r="D382" s="306" t="s">
        <v>47</v>
      </c>
      <c r="E382" s="305"/>
      <c r="F382" s="307"/>
      <c r="G382" s="308">
        <f t="shared" si="44"/>
        <v>0</v>
      </c>
    </row>
    <row r="383" spans="1:7" ht="20.25">
      <c r="A383" s="209">
        <f t="shared" si="45"/>
        <v>37.089999999999982</v>
      </c>
      <c r="B383" s="304" t="s">
        <v>125</v>
      </c>
      <c r="C383" s="305">
        <v>18</v>
      </c>
      <c r="D383" s="306" t="s">
        <v>47</v>
      </c>
      <c r="E383" s="305"/>
      <c r="F383" s="307"/>
      <c r="G383" s="308">
        <f>C383%*G375</f>
        <v>0</v>
      </c>
    </row>
    <row r="384" spans="1:7" ht="21" thickBot="1">
      <c r="A384" s="163"/>
      <c r="B384" s="164"/>
      <c r="C384" s="165"/>
      <c r="D384" s="166"/>
      <c r="E384" s="165"/>
      <c r="F384" s="167"/>
      <c r="G384" s="136"/>
    </row>
    <row r="385" spans="1:9" ht="21" thickBot="1">
      <c r="A385" s="360" t="s">
        <v>1834</v>
      </c>
      <c r="B385" s="361"/>
      <c r="C385" s="361"/>
      <c r="D385" s="361"/>
      <c r="E385" s="361"/>
      <c r="F385" s="361"/>
      <c r="G385" s="309">
        <f>SUM(G374:G383)</f>
        <v>0</v>
      </c>
    </row>
    <row r="386" spans="1:9" ht="21" thickBot="1">
      <c r="A386" s="310"/>
      <c r="B386" s="311"/>
      <c r="C386" s="311"/>
      <c r="D386" s="311"/>
      <c r="E386" s="311"/>
      <c r="F386" s="311"/>
      <c r="G386" s="312"/>
    </row>
    <row r="387" spans="1:9" s="1" customFormat="1" ht="21" thickBot="1">
      <c r="A387" s="368" t="s">
        <v>1979</v>
      </c>
      <c r="B387" s="369"/>
      <c r="C387" s="369"/>
      <c r="D387" s="369"/>
      <c r="E387" s="369"/>
      <c r="F387" s="369"/>
      <c r="G387" s="313">
        <f>+G372+G385</f>
        <v>0</v>
      </c>
      <c r="H387" s="88"/>
    </row>
    <row r="388" spans="1:9" s="87" customFormat="1" ht="20.25">
      <c r="A388" s="110"/>
      <c r="B388" s="111"/>
      <c r="C388" s="112"/>
      <c r="D388" s="112"/>
      <c r="E388" s="112"/>
      <c r="F388" s="112"/>
      <c r="G388" s="113"/>
    </row>
    <row r="389" spans="1:9" s="1" customFormat="1" ht="20.25">
      <c r="A389" s="168"/>
      <c r="B389" s="314" t="s">
        <v>2014</v>
      </c>
      <c r="C389" s="116"/>
      <c r="D389" s="315"/>
      <c r="E389" s="362"/>
      <c r="F389" s="363"/>
      <c r="G389" s="364"/>
      <c r="H389" s="89"/>
      <c r="I389" s="90"/>
    </row>
    <row r="390" spans="1:9" ht="20.25">
      <c r="A390" s="168"/>
      <c r="B390" s="316"/>
      <c r="C390" s="116"/>
      <c r="D390" s="315"/>
      <c r="E390" s="317"/>
      <c r="F390" s="317"/>
      <c r="G390" s="318"/>
    </row>
    <row r="391" spans="1:9" ht="20.25">
      <c r="A391" s="168"/>
      <c r="B391" s="319" t="s">
        <v>2009</v>
      </c>
      <c r="C391" s="116"/>
      <c r="D391" s="365"/>
      <c r="E391" s="366"/>
      <c r="F391" s="366"/>
      <c r="G391" s="367"/>
    </row>
    <row r="392" spans="1:9" ht="20.25">
      <c r="A392" s="168"/>
      <c r="B392" s="314" t="s">
        <v>2013</v>
      </c>
      <c r="C392" s="116"/>
      <c r="D392" s="362"/>
      <c r="E392" s="363"/>
      <c r="F392" s="363"/>
      <c r="G392" s="364"/>
    </row>
    <row r="393" spans="1:9" ht="19.5">
      <c r="A393" s="168"/>
      <c r="B393" s="115"/>
      <c r="C393" s="116"/>
      <c r="D393" s="117"/>
      <c r="E393" s="118"/>
      <c r="F393" s="119"/>
      <c r="G393" s="169"/>
    </row>
    <row r="394" spans="1:9" ht="19.5">
      <c r="A394" s="168"/>
      <c r="B394" s="115"/>
      <c r="C394" s="116"/>
      <c r="D394" s="117"/>
      <c r="E394" s="118"/>
      <c r="F394" s="119"/>
      <c r="G394" s="169"/>
    </row>
    <row r="395" spans="1:9" ht="19.5">
      <c r="A395" s="168"/>
      <c r="B395" s="115"/>
      <c r="C395" s="116"/>
      <c r="D395" s="117"/>
      <c r="E395" s="118"/>
      <c r="F395" s="119"/>
      <c r="G395" s="169"/>
    </row>
    <row r="396" spans="1:9" ht="20.25">
      <c r="A396" s="168"/>
      <c r="B396" s="362" t="s">
        <v>2010</v>
      </c>
      <c r="C396" s="363"/>
      <c r="D396" s="363"/>
      <c r="E396" s="363"/>
      <c r="F396" s="363"/>
      <c r="G396" s="364"/>
    </row>
    <row r="397" spans="1:9" ht="20.25">
      <c r="A397" s="168"/>
      <c r="B397" s="316"/>
      <c r="C397" s="320"/>
      <c r="D397" s="315"/>
      <c r="E397" s="317"/>
      <c r="F397" s="317"/>
      <c r="G397" s="318"/>
    </row>
    <row r="398" spans="1:9" ht="20.25">
      <c r="A398" s="168"/>
      <c r="B398" s="316"/>
      <c r="C398" s="320"/>
      <c r="D398" s="315"/>
      <c r="E398" s="317"/>
      <c r="F398" s="317"/>
      <c r="G398" s="318"/>
    </row>
    <row r="399" spans="1:9" ht="20.25">
      <c r="A399" s="168"/>
      <c r="B399" s="365" t="s">
        <v>2011</v>
      </c>
      <c r="C399" s="366"/>
      <c r="D399" s="366"/>
      <c r="E399" s="366"/>
      <c r="F399" s="366"/>
      <c r="G399" s="367"/>
    </row>
    <row r="400" spans="1:9" ht="21" thickBot="1">
      <c r="A400" s="170"/>
      <c r="B400" s="354" t="s">
        <v>2012</v>
      </c>
      <c r="C400" s="355"/>
      <c r="D400" s="355"/>
      <c r="E400" s="355"/>
      <c r="F400" s="355"/>
      <c r="G400" s="356"/>
    </row>
    <row r="401" spans="1:7" ht="19.5">
      <c r="A401" s="114"/>
      <c r="B401" s="115"/>
      <c r="C401" s="116"/>
      <c r="D401" s="117"/>
      <c r="E401" s="118"/>
      <c r="F401" s="119"/>
      <c r="G401" s="119"/>
    </row>
    <row r="402" spans="1:7" ht="19.5">
      <c r="A402" s="114"/>
      <c r="B402" s="115"/>
      <c r="C402" s="116"/>
      <c r="D402" s="117"/>
      <c r="E402" s="118"/>
      <c r="F402" s="119"/>
      <c r="G402" s="119"/>
    </row>
    <row r="403" spans="1:7" ht="19.5">
      <c r="A403" s="114"/>
      <c r="B403" s="115"/>
      <c r="C403" s="116"/>
      <c r="D403" s="117"/>
      <c r="E403" s="118"/>
      <c r="F403" s="119"/>
      <c r="G403" s="119"/>
    </row>
    <row r="404" spans="1:7" ht="19.5">
      <c r="A404" s="114"/>
      <c r="B404" s="115"/>
      <c r="C404" s="116"/>
      <c r="D404" s="117"/>
      <c r="E404" s="118"/>
      <c r="F404" s="119"/>
      <c r="G404" s="119"/>
    </row>
    <row r="405" spans="1:7" ht="19.5">
      <c r="A405" s="114"/>
      <c r="B405" s="115"/>
      <c r="C405" s="116"/>
      <c r="D405" s="117"/>
      <c r="E405" s="118"/>
      <c r="F405" s="119"/>
      <c r="G405" s="119"/>
    </row>
    <row r="406" spans="1:7" ht="19.5">
      <c r="A406" s="114"/>
      <c r="B406" s="115"/>
      <c r="C406" s="116"/>
      <c r="D406" s="117"/>
      <c r="E406" s="118"/>
      <c r="F406" s="119"/>
      <c r="G406" s="119"/>
    </row>
    <row r="407" spans="1:7" ht="19.5">
      <c r="A407" s="114"/>
      <c r="B407" s="115"/>
      <c r="C407" s="116"/>
      <c r="D407" s="117"/>
      <c r="E407" s="118"/>
      <c r="F407" s="119"/>
      <c r="G407" s="119"/>
    </row>
    <row r="408" spans="1:7" ht="19.5">
      <c r="A408" s="114"/>
      <c r="B408" s="115"/>
      <c r="C408" s="116"/>
      <c r="D408" s="117"/>
      <c r="E408" s="118"/>
      <c r="F408" s="119"/>
      <c r="G408" s="119"/>
    </row>
    <row r="409" spans="1:7" ht="19.5">
      <c r="A409" s="114"/>
      <c r="B409" s="115"/>
      <c r="C409" s="116"/>
      <c r="D409" s="117"/>
      <c r="E409" s="118"/>
      <c r="F409" s="119"/>
      <c r="G409" s="119"/>
    </row>
    <row r="410" spans="1:7" ht="19.5">
      <c r="A410" s="114"/>
      <c r="B410" s="115"/>
      <c r="C410" s="116"/>
      <c r="D410" s="117"/>
      <c r="E410" s="118"/>
      <c r="F410" s="119"/>
      <c r="G410" s="119"/>
    </row>
    <row r="411" spans="1:7" ht="19.5">
      <c r="A411" s="114"/>
      <c r="B411" s="115"/>
      <c r="C411" s="116"/>
      <c r="D411" s="117"/>
      <c r="E411" s="118"/>
      <c r="F411" s="119"/>
      <c r="G411" s="119"/>
    </row>
    <row r="412" spans="1:7" ht="19.5">
      <c r="A412" s="114"/>
      <c r="B412" s="115"/>
      <c r="C412" s="116"/>
      <c r="D412" s="117"/>
      <c r="E412" s="118"/>
      <c r="F412" s="119"/>
      <c r="G412" s="119"/>
    </row>
    <row r="413" spans="1:7" ht="19.5">
      <c r="A413" s="114"/>
      <c r="B413" s="115"/>
      <c r="C413" s="116"/>
      <c r="D413" s="117"/>
      <c r="E413" s="118"/>
      <c r="F413" s="119"/>
      <c r="G413" s="119"/>
    </row>
    <row r="414" spans="1:7" ht="19.5">
      <c r="A414" s="114"/>
      <c r="B414" s="115"/>
      <c r="C414" s="116"/>
      <c r="D414" s="117"/>
      <c r="E414" s="118"/>
      <c r="F414" s="119"/>
      <c r="G414" s="119"/>
    </row>
    <row r="415" spans="1:7" ht="19.5">
      <c r="A415" s="114"/>
      <c r="B415" s="115"/>
      <c r="C415" s="116"/>
      <c r="D415" s="117"/>
      <c r="E415" s="118"/>
      <c r="F415" s="119"/>
      <c r="G415" s="119"/>
    </row>
    <row r="416" spans="1:7" ht="19.5">
      <c r="A416" s="114"/>
      <c r="B416" s="115"/>
      <c r="C416" s="116"/>
      <c r="D416" s="117"/>
      <c r="E416" s="118"/>
      <c r="F416" s="119"/>
      <c r="G416" s="119"/>
    </row>
    <row r="417" spans="1:7" ht="19.5">
      <c r="A417" s="114"/>
      <c r="B417" s="115"/>
      <c r="C417" s="116"/>
      <c r="D417" s="117"/>
      <c r="E417" s="118"/>
      <c r="F417" s="119"/>
      <c r="G417" s="119"/>
    </row>
    <row r="418" spans="1:7" ht="19.5">
      <c r="A418" s="114"/>
      <c r="B418" s="115"/>
      <c r="C418" s="116"/>
      <c r="D418" s="117"/>
      <c r="E418" s="118"/>
      <c r="F418" s="119"/>
      <c r="G418" s="119"/>
    </row>
    <row r="419" spans="1:7" ht="19.5">
      <c r="A419" s="114"/>
      <c r="B419" s="115"/>
      <c r="C419" s="116"/>
      <c r="D419" s="117"/>
      <c r="E419" s="118"/>
      <c r="F419" s="119"/>
      <c r="G419" s="119"/>
    </row>
    <row r="420" spans="1:7" ht="19.5">
      <c r="A420" s="114"/>
      <c r="B420" s="115"/>
      <c r="C420" s="116"/>
      <c r="D420" s="117"/>
      <c r="E420" s="118"/>
      <c r="F420" s="119"/>
      <c r="G420" s="119"/>
    </row>
    <row r="421" spans="1:7" ht="19.5">
      <c r="A421" s="114"/>
      <c r="B421" s="115"/>
      <c r="C421" s="116"/>
      <c r="D421" s="117"/>
      <c r="E421" s="118"/>
      <c r="F421" s="119"/>
      <c r="G421" s="119"/>
    </row>
    <row r="422" spans="1:7" ht="19.5">
      <c r="A422" s="114"/>
      <c r="B422" s="115"/>
      <c r="C422" s="116"/>
      <c r="D422" s="117"/>
      <c r="E422" s="118"/>
      <c r="F422" s="119"/>
      <c r="G422" s="119"/>
    </row>
    <row r="423" spans="1:7" ht="19.5">
      <c r="A423" s="114"/>
      <c r="B423" s="115"/>
      <c r="C423" s="116"/>
      <c r="D423" s="117"/>
      <c r="E423" s="118"/>
      <c r="F423" s="119"/>
      <c r="G423" s="119"/>
    </row>
    <row r="424" spans="1:7" ht="19.5">
      <c r="A424" s="114"/>
      <c r="B424" s="115"/>
      <c r="C424" s="116"/>
      <c r="D424" s="117"/>
      <c r="E424" s="118"/>
      <c r="F424" s="119"/>
      <c r="G424" s="119"/>
    </row>
    <row r="425" spans="1:7" ht="19.5">
      <c r="A425" s="114"/>
      <c r="B425" s="115"/>
      <c r="C425" s="116"/>
      <c r="D425" s="117"/>
      <c r="E425" s="118"/>
      <c r="F425" s="119"/>
      <c r="G425" s="119"/>
    </row>
    <row r="426" spans="1:7" ht="19.5">
      <c r="A426" s="114"/>
      <c r="B426" s="115"/>
      <c r="C426" s="116"/>
      <c r="D426" s="117"/>
      <c r="E426" s="118"/>
      <c r="F426" s="119"/>
      <c r="G426" s="119"/>
    </row>
    <row r="427" spans="1:7" ht="19.5">
      <c r="A427" s="114"/>
      <c r="B427" s="115"/>
      <c r="C427" s="116"/>
      <c r="D427" s="117"/>
      <c r="E427" s="118"/>
      <c r="F427" s="119"/>
      <c r="G427" s="119"/>
    </row>
    <row r="428" spans="1:7" ht="19.5">
      <c r="A428" s="114"/>
      <c r="B428" s="115"/>
      <c r="C428" s="116"/>
      <c r="D428" s="117"/>
      <c r="E428" s="118"/>
      <c r="F428" s="119"/>
      <c r="G428" s="119"/>
    </row>
    <row r="429" spans="1:7" ht="19.5">
      <c r="A429" s="114"/>
      <c r="B429" s="115"/>
      <c r="C429" s="116"/>
      <c r="D429" s="117"/>
      <c r="E429" s="118"/>
      <c r="F429" s="119"/>
      <c r="G429" s="119"/>
    </row>
    <row r="430" spans="1:7" ht="19.5">
      <c r="A430" s="114"/>
      <c r="B430" s="115"/>
      <c r="C430" s="116"/>
      <c r="D430" s="117"/>
      <c r="E430" s="118"/>
      <c r="F430" s="119"/>
      <c r="G430" s="119"/>
    </row>
    <row r="431" spans="1:7" ht="19.5">
      <c r="A431" s="114"/>
      <c r="B431" s="115"/>
      <c r="C431" s="116"/>
      <c r="D431" s="117"/>
      <c r="E431" s="118"/>
      <c r="F431" s="119"/>
      <c r="G431" s="119"/>
    </row>
    <row r="432" spans="1:7" ht="19.5">
      <c r="A432" s="114"/>
      <c r="B432" s="115"/>
      <c r="C432" s="116"/>
      <c r="D432" s="117"/>
      <c r="E432" s="118"/>
      <c r="F432" s="119"/>
      <c r="G432" s="119"/>
    </row>
    <row r="433" spans="1:7" ht="19.5">
      <c r="A433" s="114"/>
      <c r="B433" s="115"/>
      <c r="C433" s="116"/>
      <c r="D433" s="117"/>
      <c r="E433" s="118"/>
      <c r="F433" s="119"/>
      <c r="G433" s="119"/>
    </row>
    <row r="434" spans="1:7" ht="19.5">
      <c r="A434" s="114"/>
      <c r="B434" s="115"/>
      <c r="C434" s="116"/>
      <c r="D434" s="117"/>
      <c r="E434" s="118"/>
      <c r="F434" s="119"/>
      <c r="G434" s="119"/>
    </row>
    <row r="435" spans="1:7" ht="19.5">
      <c r="A435" s="114"/>
      <c r="B435" s="115"/>
      <c r="C435" s="116"/>
      <c r="D435" s="117"/>
      <c r="E435" s="118"/>
      <c r="F435" s="119"/>
      <c r="G435" s="119"/>
    </row>
    <row r="436" spans="1:7" ht="19.5">
      <c r="A436" s="114"/>
      <c r="B436" s="115"/>
      <c r="C436" s="116"/>
      <c r="D436" s="117"/>
      <c r="E436" s="118"/>
      <c r="F436" s="119"/>
      <c r="G436" s="119"/>
    </row>
    <row r="437" spans="1:7" ht="19.5">
      <c r="A437" s="114"/>
      <c r="B437" s="115"/>
      <c r="C437" s="116"/>
      <c r="D437" s="117"/>
      <c r="E437" s="118"/>
      <c r="F437" s="119"/>
      <c r="G437" s="119"/>
    </row>
    <row r="438" spans="1:7" ht="19.5">
      <c r="A438" s="114"/>
      <c r="B438" s="115"/>
      <c r="C438" s="116"/>
      <c r="D438" s="117"/>
      <c r="E438" s="118"/>
      <c r="F438" s="119"/>
      <c r="G438" s="119"/>
    </row>
    <row r="439" spans="1:7" ht="19.5">
      <c r="A439" s="114"/>
      <c r="B439" s="115"/>
      <c r="C439" s="116"/>
      <c r="D439" s="117"/>
      <c r="E439" s="118"/>
      <c r="F439" s="119"/>
      <c r="G439" s="119"/>
    </row>
    <row r="440" spans="1:7" ht="19.5">
      <c r="A440" s="114"/>
      <c r="B440" s="115"/>
      <c r="C440" s="116"/>
      <c r="D440" s="117"/>
      <c r="E440" s="118"/>
      <c r="F440" s="119"/>
      <c r="G440" s="119"/>
    </row>
    <row r="441" spans="1:7" ht="19.5">
      <c r="A441" s="114"/>
      <c r="B441" s="115"/>
      <c r="C441" s="116"/>
      <c r="D441" s="117"/>
      <c r="E441" s="118"/>
      <c r="F441" s="119"/>
      <c r="G441" s="119"/>
    </row>
    <row r="442" spans="1:7" ht="19.5">
      <c r="A442" s="114"/>
      <c r="B442" s="115"/>
      <c r="C442" s="116"/>
      <c r="D442" s="117"/>
      <c r="E442" s="118"/>
      <c r="F442" s="119"/>
      <c r="G442" s="119"/>
    </row>
    <row r="443" spans="1:7" ht="19.5">
      <c r="A443" s="114"/>
      <c r="B443" s="115"/>
      <c r="C443" s="116"/>
      <c r="D443" s="117"/>
      <c r="E443" s="118"/>
      <c r="F443" s="119"/>
      <c r="G443" s="119"/>
    </row>
    <row r="444" spans="1:7" ht="19.5">
      <c r="A444" s="114"/>
      <c r="B444" s="115"/>
      <c r="C444" s="116"/>
      <c r="D444" s="117"/>
      <c r="E444" s="118"/>
      <c r="F444" s="119"/>
      <c r="G444" s="119"/>
    </row>
    <row r="445" spans="1:7" ht="19.5">
      <c r="A445" s="114"/>
      <c r="B445" s="115"/>
      <c r="C445" s="116"/>
      <c r="D445" s="117"/>
      <c r="E445" s="118"/>
      <c r="F445" s="119"/>
      <c r="G445" s="119"/>
    </row>
    <row r="446" spans="1:7" ht="19.5">
      <c r="A446" s="114"/>
      <c r="B446" s="115"/>
      <c r="C446" s="116"/>
      <c r="D446" s="117"/>
      <c r="E446" s="118"/>
      <c r="F446" s="119"/>
      <c r="G446" s="119"/>
    </row>
    <row r="447" spans="1:7" ht="19.5">
      <c r="A447" s="114"/>
      <c r="B447" s="115"/>
      <c r="C447" s="116"/>
      <c r="D447" s="117"/>
      <c r="E447" s="118"/>
      <c r="F447" s="119"/>
      <c r="G447" s="119"/>
    </row>
    <row r="448" spans="1:7" ht="19.5">
      <c r="A448" s="114"/>
      <c r="B448" s="115"/>
      <c r="C448" s="116"/>
      <c r="D448" s="117"/>
      <c r="E448" s="118"/>
      <c r="F448" s="119"/>
      <c r="G448" s="119"/>
    </row>
    <row r="449" spans="1:7" ht="19.5">
      <c r="A449" s="114"/>
      <c r="B449" s="115"/>
      <c r="C449" s="116"/>
      <c r="D449" s="117"/>
      <c r="E449" s="118"/>
      <c r="F449" s="119"/>
      <c r="G449" s="119"/>
    </row>
    <row r="450" spans="1:7" ht="19.5">
      <c r="A450" s="114"/>
      <c r="B450" s="115"/>
      <c r="C450" s="116"/>
      <c r="D450" s="117"/>
      <c r="E450" s="118"/>
      <c r="F450" s="119"/>
      <c r="G450" s="119"/>
    </row>
    <row r="451" spans="1:7" ht="19.5">
      <c r="A451" s="114"/>
      <c r="B451" s="115"/>
      <c r="C451" s="116"/>
      <c r="D451" s="117"/>
      <c r="E451" s="118"/>
      <c r="F451" s="119"/>
      <c r="G451" s="119"/>
    </row>
    <row r="452" spans="1:7" ht="19.5">
      <c r="A452" s="114"/>
      <c r="B452" s="115"/>
      <c r="C452" s="116"/>
      <c r="D452" s="117"/>
      <c r="E452" s="118"/>
      <c r="F452" s="119"/>
      <c r="G452" s="119"/>
    </row>
    <row r="453" spans="1:7" ht="19.5">
      <c r="A453" s="114"/>
      <c r="B453" s="115"/>
      <c r="C453" s="116"/>
      <c r="D453" s="117"/>
      <c r="E453" s="118"/>
      <c r="F453" s="119"/>
      <c r="G453" s="119"/>
    </row>
    <row r="454" spans="1:7" ht="19.5">
      <c r="A454" s="114"/>
      <c r="B454" s="115"/>
      <c r="C454" s="116"/>
      <c r="D454" s="117"/>
      <c r="E454" s="118"/>
      <c r="F454" s="119"/>
      <c r="G454" s="119"/>
    </row>
    <row r="455" spans="1:7" ht="19.5">
      <c r="A455" s="114"/>
      <c r="B455" s="115"/>
      <c r="C455" s="116"/>
      <c r="D455" s="117"/>
      <c r="E455" s="118"/>
      <c r="F455" s="119"/>
      <c r="G455" s="119"/>
    </row>
    <row r="456" spans="1:7" ht="19.5">
      <c r="A456" s="114"/>
      <c r="B456" s="115"/>
      <c r="C456" s="116"/>
      <c r="D456" s="117"/>
      <c r="E456" s="118"/>
      <c r="F456" s="119"/>
      <c r="G456" s="119"/>
    </row>
    <row r="457" spans="1:7" ht="19.5">
      <c r="A457" s="114"/>
      <c r="B457" s="115"/>
      <c r="C457" s="116"/>
      <c r="D457" s="117"/>
      <c r="E457" s="118"/>
      <c r="F457" s="119"/>
      <c r="G457" s="119"/>
    </row>
    <row r="458" spans="1:7" ht="19.5">
      <c r="A458" s="114"/>
      <c r="B458" s="115"/>
      <c r="C458" s="116"/>
      <c r="D458" s="117"/>
      <c r="E458" s="118"/>
      <c r="F458" s="119"/>
      <c r="G458" s="119"/>
    </row>
    <row r="459" spans="1:7" ht="19.5">
      <c r="A459" s="114"/>
      <c r="B459" s="115"/>
      <c r="C459" s="116"/>
      <c r="D459" s="117"/>
      <c r="E459" s="118"/>
      <c r="F459" s="119"/>
      <c r="G459" s="119"/>
    </row>
    <row r="460" spans="1:7" ht="19.5">
      <c r="A460" s="114"/>
      <c r="B460" s="115"/>
      <c r="C460" s="116"/>
      <c r="D460" s="117"/>
      <c r="E460" s="118"/>
      <c r="F460" s="119"/>
      <c r="G460" s="119"/>
    </row>
    <row r="461" spans="1:7" ht="19.5">
      <c r="A461" s="114"/>
      <c r="B461" s="115"/>
      <c r="C461" s="116"/>
      <c r="D461" s="117"/>
      <c r="E461" s="118"/>
      <c r="F461" s="119"/>
      <c r="G461" s="119"/>
    </row>
    <row r="462" spans="1:7" ht="19.5">
      <c r="A462" s="114"/>
      <c r="B462" s="115"/>
      <c r="C462" s="116"/>
      <c r="D462" s="117"/>
      <c r="E462" s="118"/>
      <c r="F462" s="119"/>
      <c r="G462" s="119"/>
    </row>
    <row r="463" spans="1:7" ht="19.5">
      <c r="A463" s="114"/>
      <c r="B463" s="115"/>
      <c r="C463" s="116"/>
      <c r="D463" s="117"/>
      <c r="E463" s="118"/>
      <c r="F463" s="119"/>
      <c r="G463" s="119"/>
    </row>
    <row r="464" spans="1:7" ht="19.5">
      <c r="A464" s="114"/>
      <c r="B464" s="115"/>
      <c r="C464" s="116"/>
      <c r="D464" s="117"/>
      <c r="E464" s="118"/>
      <c r="F464" s="119"/>
      <c r="G464" s="119"/>
    </row>
    <row r="465" spans="1:7" ht="19.5">
      <c r="A465" s="114"/>
      <c r="B465" s="115"/>
      <c r="C465" s="116"/>
      <c r="D465" s="117"/>
      <c r="E465" s="118"/>
      <c r="F465" s="119"/>
      <c r="G465" s="119"/>
    </row>
    <row r="466" spans="1:7" ht="19.5">
      <c r="A466" s="114"/>
      <c r="B466" s="115"/>
      <c r="C466" s="116"/>
      <c r="D466" s="117"/>
      <c r="E466" s="118"/>
      <c r="F466" s="119"/>
      <c r="G466" s="119"/>
    </row>
    <row r="467" spans="1:7" ht="19.5">
      <c r="A467" s="114"/>
      <c r="B467" s="115"/>
      <c r="C467" s="116"/>
      <c r="D467" s="117"/>
      <c r="E467" s="118"/>
      <c r="F467" s="119"/>
      <c r="G467" s="119"/>
    </row>
    <row r="468" spans="1:7" ht="19.5">
      <c r="A468" s="114"/>
      <c r="B468" s="115"/>
      <c r="C468" s="116"/>
      <c r="D468" s="117"/>
      <c r="E468" s="118"/>
      <c r="F468" s="119"/>
      <c r="G468" s="119"/>
    </row>
    <row r="469" spans="1:7" ht="19.5">
      <c r="A469" s="114"/>
      <c r="B469" s="115"/>
      <c r="C469" s="116"/>
      <c r="D469" s="117"/>
      <c r="E469" s="118"/>
      <c r="F469" s="119"/>
      <c r="G469" s="119"/>
    </row>
    <row r="470" spans="1:7" ht="19.5">
      <c r="A470" s="114"/>
      <c r="B470" s="115"/>
      <c r="C470" s="116"/>
      <c r="D470" s="117"/>
      <c r="E470" s="118"/>
      <c r="F470" s="119"/>
      <c r="G470" s="119"/>
    </row>
    <row r="471" spans="1:7" ht="19.5">
      <c r="A471" s="114"/>
      <c r="B471" s="115"/>
      <c r="C471" s="116"/>
      <c r="D471" s="117"/>
      <c r="E471" s="118"/>
      <c r="F471" s="119"/>
      <c r="G471" s="119"/>
    </row>
    <row r="472" spans="1:7" ht="19.5">
      <c r="A472" s="114"/>
      <c r="B472" s="115"/>
      <c r="C472" s="116"/>
      <c r="D472" s="117"/>
      <c r="E472" s="118"/>
      <c r="F472" s="119"/>
      <c r="G472" s="119"/>
    </row>
    <row r="473" spans="1:7" ht="19.5">
      <c r="A473" s="114"/>
      <c r="B473" s="115"/>
      <c r="C473" s="116"/>
      <c r="D473" s="117"/>
      <c r="E473" s="118"/>
      <c r="F473" s="119"/>
      <c r="G473" s="119"/>
    </row>
    <row r="474" spans="1:7" ht="19.5">
      <c r="A474" s="114"/>
      <c r="B474" s="115"/>
      <c r="C474" s="116"/>
      <c r="D474" s="117"/>
      <c r="E474" s="118"/>
      <c r="F474" s="119"/>
      <c r="G474" s="119"/>
    </row>
    <row r="475" spans="1:7" ht="19.5">
      <c r="A475" s="114"/>
      <c r="B475" s="115"/>
      <c r="C475" s="116"/>
      <c r="D475" s="117"/>
      <c r="E475" s="118"/>
      <c r="F475" s="119"/>
      <c r="G475" s="119"/>
    </row>
    <row r="476" spans="1:7" ht="19.5">
      <c r="A476" s="114"/>
      <c r="B476" s="115"/>
      <c r="C476" s="116"/>
      <c r="D476" s="117"/>
      <c r="E476" s="118"/>
      <c r="F476" s="119"/>
      <c r="G476" s="119"/>
    </row>
    <row r="477" spans="1:7" ht="19.5">
      <c r="A477" s="114"/>
      <c r="B477" s="115"/>
      <c r="C477" s="116"/>
      <c r="D477" s="117"/>
      <c r="E477" s="118"/>
      <c r="F477" s="119"/>
      <c r="G477" s="119"/>
    </row>
    <row r="478" spans="1:7" ht="19.5">
      <c r="A478" s="114"/>
      <c r="B478" s="115"/>
      <c r="C478" s="116"/>
      <c r="D478" s="117"/>
      <c r="E478" s="118"/>
      <c r="F478" s="119"/>
      <c r="G478" s="119"/>
    </row>
    <row r="479" spans="1:7" ht="19.5">
      <c r="A479" s="114"/>
      <c r="B479" s="115"/>
      <c r="C479" s="116"/>
      <c r="D479" s="117"/>
      <c r="E479" s="118"/>
      <c r="F479" s="119"/>
      <c r="G479" s="119"/>
    </row>
    <row r="480" spans="1:7" ht="19.5">
      <c r="A480" s="114"/>
      <c r="B480" s="115"/>
      <c r="C480" s="116"/>
      <c r="D480" s="117"/>
      <c r="E480" s="118"/>
      <c r="F480" s="119"/>
      <c r="G480" s="119"/>
    </row>
    <row r="481" spans="1:7" ht="19.5">
      <c r="A481" s="114"/>
      <c r="B481" s="115"/>
      <c r="C481" s="116"/>
      <c r="D481" s="117"/>
      <c r="E481" s="118"/>
      <c r="F481" s="119"/>
      <c r="G481" s="119"/>
    </row>
    <row r="482" spans="1:7" ht="19.5">
      <c r="A482" s="114"/>
      <c r="B482" s="115"/>
      <c r="C482" s="116"/>
      <c r="D482" s="117"/>
      <c r="E482" s="118"/>
      <c r="F482" s="119"/>
      <c r="G482" s="119"/>
    </row>
    <row r="483" spans="1:7" ht="19.5">
      <c r="A483" s="114"/>
      <c r="B483" s="115"/>
      <c r="C483" s="116"/>
      <c r="D483" s="117"/>
      <c r="E483" s="118"/>
      <c r="F483" s="119"/>
      <c r="G483" s="119"/>
    </row>
    <row r="484" spans="1:7" ht="19.5">
      <c r="A484" s="114"/>
      <c r="B484" s="115"/>
      <c r="C484" s="116"/>
      <c r="D484" s="117"/>
      <c r="E484" s="118"/>
      <c r="F484" s="119"/>
      <c r="G484" s="119"/>
    </row>
    <row r="485" spans="1:7" ht="19.5">
      <c r="A485" s="114"/>
      <c r="B485" s="115"/>
      <c r="C485" s="116"/>
      <c r="D485" s="117"/>
      <c r="E485" s="118"/>
      <c r="F485" s="119"/>
      <c r="G485" s="119"/>
    </row>
    <row r="486" spans="1:7" ht="19.5">
      <c r="A486" s="114"/>
      <c r="B486" s="115"/>
      <c r="C486" s="116"/>
      <c r="D486" s="117"/>
      <c r="E486" s="118"/>
      <c r="F486" s="119"/>
      <c r="G486" s="119"/>
    </row>
    <row r="487" spans="1:7" ht="19.5">
      <c r="A487" s="114"/>
      <c r="B487" s="115"/>
      <c r="C487" s="116"/>
      <c r="D487" s="117"/>
      <c r="E487" s="118"/>
      <c r="F487" s="119"/>
      <c r="G487" s="119"/>
    </row>
    <row r="488" spans="1:7" ht="19.5">
      <c r="A488" s="114"/>
      <c r="B488" s="115"/>
      <c r="C488" s="116"/>
      <c r="D488" s="117"/>
      <c r="E488" s="118"/>
      <c r="F488" s="119"/>
      <c r="G488" s="119"/>
    </row>
    <row r="489" spans="1:7" ht="19.5">
      <c r="A489" s="114"/>
      <c r="B489" s="115"/>
      <c r="C489" s="116"/>
      <c r="D489" s="117"/>
      <c r="E489" s="118"/>
      <c r="F489" s="119"/>
      <c r="G489" s="119"/>
    </row>
    <row r="490" spans="1:7" ht="19.5">
      <c r="A490" s="114"/>
      <c r="B490" s="115"/>
      <c r="C490" s="116"/>
      <c r="D490" s="117"/>
      <c r="E490" s="118"/>
      <c r="F490" s="119"/>
      <c r="G490" s="119"/>
    </row>
    <row r="491" spans="1:7" ht="19.5">
      <c r="A491" s="114"/>
      <c r="B491" s="115"/>
      <c r="C491" s="116"/>
      <c r="D491" s="117"/>
      <c r="E491" s="118"/>
      <c r="F491" s="119"/>
      <c r="G491" s="119"/>
    </row>
    <row r="492" spans="1:7" ht="19.5">
      <c r="A492" s="114"/>
      <c r="B492" s="115"/>
      <c r="C492" s="116"/>
      <c r="D492" s="117"/>
      <c r="E492" s="118"/>
      <c r="F492" s="119"/>
      <c r="G492" s="119"/>
    </row>
    <row r="493" spans="1:7" ht="19.5">
      <c r="A493" s="114"/>
      <c r="B493" s="115"/>
      <c r="C493" s="116"/>
      <c r="D493" s="117"/>
      <c r="E493" s="118"/>
      <c r="F493" s="119"/>
      <c r="G493" s="119"/>
    </row>
    <row r="494" spans="1:7" ht="19.5">
      <c r="A494" s="114"/>
      <c r="B494" s="115"/>
      <c r="C494" s="116"/>
      <c r="D494" s="117"/>
      <c r="E494" s="118"/>
      <c r="F494" s="119"/>
      <c r="G494" s="119"/>
    </row>
    <row r="495" spans="1:7" ht="19.5">
      <c r="A495" s="114"/>
      <c r="B495" s="115"/>
      <c r="C495" s="116"/>
      <c r="D495" s="117"/>
      <c r="E495" s="118"/>
      <c r="F495" s="119"/>
      <c r="G495" s="119"/>
    </row>
    <row r="496" spans="1:7" ht="19.5">
      <c r="A496" s="114"/>
      <c r="B496" s="115"/>
      <c r="C496" s="116"/>
      <c r="D496" s="117"/>
      <c r="E496" s="118"/>
      <c r="F496" s="119"/>
      <c r="G496" s="119"/>
    </row>
    <row r="497" spans="1:7" ht="19.5">
      <c r="A497" s="114"/>
      <c r="B497" s="115"/>
      <c r="C497" s="116"/>
      <c r="D497" s="117"/>
      <c r="E497" s="118"/>
      <c r="F497" s="119"/>
      <c r="G497" s="119"/>
    </row>
    <row r="498" spans="1:7" ht="19.5">
      <c r="A498" s="114"/>
      <c r="B498" s="115"/>
      <c r="C498" s="116"/>
      <c r="D498" s="117"/>
      <c r="E498" s="118"/>
      <c r="F498" s="119"/>
      <c r="G498" s="119"/>
    </row>
    <row r="499" spans="1:7" ht="19.5">
      <c r="A499" s="114"/>
      <c r="B499" s="115"/>
      <c r="C499" s="116"/>
      <c r="D499" s="117"/>
      <c r="E499" s="118"/>
      <c r="F499" s="119"/>
      <c r="G499" s="119"/>
    </row>
    <row r="500" spans="1:7" ht="19.5">
      <c r="A500" s="114"/>
      <c r="B500" s="115"/>
      <c r="C500" s="116"/>
      <c r="D500" s="117"/>
      <c r="E500" s="118"/>
      <c r="F500" s="119"/>
      <c r="G500" s="119"/>
    </row>
    <row r="501" spans="1:7" ht="19.5">
      <c r="A501" s="114"/>
      <c r="B501" s="115"/>
      <c r="C501" s="116"/>
      <c r="D501" s="117"/>
      <c r="E501" s="118"/>
      <c r="F501" s="119"/>
      <c r="G501" s="119"/>
    </row>
    <row r="502" spans="1:7" ht="19.5">
      <c r="A502" s="114"/>
      <c r="B502" s="115"/>
      <c r="C502" s="116"/>
      <c r="D502" s="117"/>
      <c r="E502" s="118"/>
      <c r="F502" s="119"/>
      <c r="G502" s="119"/>
    </row>
    <row r="503" spans="1:7" ht="19.5">
      <c r="A503" s="114"/>
      <c r="B503" s="115"/>
      <c r="C503" s="116"/>
      <c r="D503" s="117"/>
      <c r="E503" s="118"/>
      <c r="F503" s="119"/>
      <c r="G503" s="119"/>
    </row>
    <row r="504" spans="1:7" ht="19.5">
      <c r="A504" s="114"/>
      <c r="B504" s="115"/>
      <c r="C504" s="116"/>
      <c r="D504" s="117"/>
      <c r="E504" s="118"/>
      <c r="F504" s="119"/>
      <c r="G504" s="119"/>
    </row>
    <row r="505" spans="1:7" ht="19.5">
      <c r="A505" s="114"/>
      <c r="B505" s="115"/>
      <c r="C505" s="116"/>
      <c r="D505" s="117"/>
      <c r="E505" s="118"/>
      <c r="F505" s="119"/>
      <c r="G505" s="119"/>
    </row>
    <row r="506" spans="1:7" ht="19.5">
      <c r="A506" s="114"/>
      <c r="B506" s="115"/>
      <c r="C506" s="116"/>
      <c r="D506" s="117"/>
      <c r="E506" s="118"/>
      <c r="F506" s="119"/>
      <c r="G506" s="119"/>
    </row>
    <row r="507" spans="1:7" ht="19.5">
      <c r="A507" s="114"/>
      <c r="B507" s="115"/>
      <c r="C507" s="116"/>
      <c r="D507" s="117"/>
      <c r="E507" s="118"/>
      <c r="F507" s="119"/>
      <c r="G507" s="119"/>
    </row>
    <row r="508" spans="1:7" ht="19.5">
      <c r="A508" s="114"/>
      <c r="B508" s="115"/>
      <c r="C508" s="116"/>
      <c r="D508" s="117"/>
      <c r="E508" s="118"/>
      <c r="F508" s="119"/>
      <c r="G508" s="119"/>
    </row>
    <row r="509" spans="1:7" ht="19.5">
      <c r="A509" s="114"/>
      <c r="B509" s="115"/>
      <c r="C509" s="116"/>
      <c r="D509" s="117"/>
      <c r="E509" s="118"/>
      <c r="F509" s="119"/>
      <c r="G509" s="119"/>
    </row>
    <row r="510" spans="1:7" ht="19.5">
      <c r="A510" s="114"/>
      <c r="B510" s="115"/>
      <c r="C510" s="116"/>
      <c r="D510" s="117"/>
      <c r="E510" s="118"/>
      <c r="F510" s="119"/>
      <c r="G510" s="119"/>
    </row>
    <row r="511" spans="1:7" ht="19.5">
      <c r="A511" s="114"/>
      <c r="B511" s="115"/>
      <c r="C511" s="116"/>
      <c r="D511" s="117"/>
      <c r="E511" s="118"/>
      <c r="F511" s="119"/>
      <c r="G511" s="119"/>
    </row>
    <row r="512" spans="1:7" ht="19.5">
      <c r="A512" s="114"/>
      <c r="B512" s="115"/>
      <c r="C512" s="116"/>
      <c r="D512" s="117"/>
      <c r="E512" s="118"/>
      <c r="F512" s="119"/>
      <c r="G512" s="119"/>
    </row>
    <row r="513" spans="1:7" ht="19.5">
      <c r="A513" s="114"/>
      <c r="B513" s="115"/>
      <c r="C513" s="116"/>
      <c r="D513" s="117"/>
      <c r="E513" s="118"/>
      <c r="F513" s="119"/>
      <c r="G513" s="119"/>
    </row>
    <row r="514" spans="1:7" ht="19.5">
      <c r="A514" s="114"/>
      <c r="B514" s="115"/>
      <c r="C514" s="116"/>
      <c r="D514" s="117"/>
      <c r="E514" s="118"/>
      <c r="F514" s="119"/>
      <c r="G514" s="119"/>
    </row>
    <row r="515" spans="1:7" ht="19.5">
      <c r="A515" s="114"/>
      <c r="B515" s="115"/>
      <c r="C515" s="116"/>
      <c r="D515" s="117"/>
      <c r="E515" s="118"/>
      <c r="F515" s="119"/>
      <c r="G515" s="119"/>
    </row>
    <row r="516" spans="1:7" ht="19.5">
      <c r="A516" s="114"/>
      <c r="B516" s="115"/>
      <c r="C516" s="116"/>
      <c r="D516" s="117"/>
      <c r="E516" s="118"/>
      <c r="F516" s="119"/>
      <c r="G516" s="119"/>
    </row>
    <row r="517" spans="1:7" ht="19.5">
      <c r="A517" s="114"/>
      <c r="B517" s="115"/>
      <c r="C517" s="116"/>
      <c r="D517" s="117"/>
      <c r="E517" s="118"/>
      <c r="F517" s="119"/>
      <c r="G517" s="119"/>
    </row>
    <row r="518" spans="1:7" ht="19.5">
      <c r="A518" s="114"/>
      <c r="B518" s="115"/>
      <c r="C518" s="116"/>
      <c r="D518" s="117"/>
      <c r="E518" s="118"/>
      <c r="F518" s="119"/>
      <c r="G518" s="119"/>
    </row>
    <row r="519" spans="1:7" ht="19.5">
      <c r="A519" s="114"/>
      <c r="B519" s="115"/>
      <c r="C519" s="116"/>
      <c r="D519" s="117"/>
      <c r="E519" s="118"/>
      <c r="F519" s="119"/>
      <c r="G519" s="119"/>
    </row>
    <row r="520" spans="1:7" ht="19.5">
      <c r="A520" s="114"/>
      <c r="B520" s="115"/>
      <c r="C520" s="116"/>
      <c r="D520" s="117"/>
      <c r="E520" s="118"/>
      <c r="F520" s="119"/>
      <c r="G520" s="119"/>
    </row>
    <row r="521" spans="1:7" ht="19.5">
      <c r="A521" s="114"/>
      <c r="B521" s="115"/>
      <c r="C521" s="116"/>
      <c r="D521" s="117"/>
      <c r="E521" s="118"/>
      <c r="F521" s="119"/>
      <c r="G521" s="119"/>
    </row>
    <row r="522" spans="1:7" ht="19.5">
      <c r="A522" s="114"/>
      <c r="B522" s="115"/>
      <c r="C522" s="116"/>
      <c r="D522" s="117"/>
      <c r="E522" s="118"/>
      <c r="F522" s="119"/>
      <c r="G522" s="119"/>
    </row>
    <row r="523" spans="1:7" ht="19.5">
      <c r="A523" s="114"/>
      <c r="B523" s="115"/>
      <c r="C523" s="116"/>
      <c r="D523" s="117"/>
      <c r="E523" s="118"/>
      <c r="F523" s="119"/>
      <c r="G523" s="119"/>
    </row>
    <row r="524" spans="1:7" ht="19.5">
      <c r="A524" s="114"/>
      <c r="B524" s="115"/>
      <c r="C524" s="116"/>
      <c r="D524" s="117"/>
      <c r="E524" s="118"/>
      <c r="F524" s="119"/>
      <c r="G524" s="119"/>
    </row>
    <row r="525" spans="1:7" ht="19.5">
      <c r="A525" s="114"/>
      <c r="B525" s="115"/>
      <c r="C525" s="116"/>
      <c r="D525" s="117"/>
      <c r="E525" s="118"/>
      <c r="F525" s="119"/>
      <c r="G525" s="119"/>
    </row>
    <row r="526" spans="1:7">
      <c r="A526" s="83"/>
      <c r="B526" s="106"/>
      <c r="C526" s="107"/>
      <c r="D526" s="86"/>
      <c r="E526" s="108"/>
      <c r="F526" s="109"/>
      <c r="G526" s="109"/>
    </row>
    <row r="527" spans="1:7">
      <c r="A527" s="83"/>
      <c r="B527" s="106"/>
      <c r="C527" s="107"/>
      <c r="D527" s="86"/>
      <c r="E527" s="108"/>
      <c r="F527" s="109"/>
      <c r="G527" s="109"/>
    </row>
    <row r="528" spans="1:7">
      <c r="A528" s="83"/>
      <c r="B528" s="106"/>
      <c r="C528" s="107"/>
      <c r="D528" s="86"/>
      <c r="E528" s="108"/>
      <c r="F528" s="109"/>
      <c r="G528" s="109"/>
    </row>
    <row r="529" spans="1:7">
      <c r="A529" s="83"/>
      <c r="B529" s="106"/>
      <c r="C529" s="107"/>
      <c r="D529" s="86"/>
      <c r="E529" s="108"/>
      <c r="F529" s="109"/>
      <c r="G529" s="109"/>
    </row>
    <row r="530" spans="1:7">
      <c r="A530" s="83"/>
      <c r="B530" s="106"/>
      <c r="C530" s="107"/>
      <c r="D530" s="86"/>
      <c r="E530" s="108"/>
      <c r="F530" s="109"/>
      <c r="G530" s="109"/>
    </row>
    <row r="531" spans="1:7">
      <c r="A531" s="83"/>
      <c r="B531" s="106"/>
      <c r="C531" s="107"/>
      <c r="D531" s="86"/>
      <c r="E531" s="108"/>
      <c r="F531" s="109"/>
      <c r="G531" s="109"/>
    </row>
    <row r="532" spans="1:7">
      <c r="A532" s="83"/>
      <c r="B532" s="106"/>
      <c r="C532" s="107"/>
      <c r="D532" s="86"/>
      <c r="E532" s="108"/>
      <c r="F532" s="109"/>
      <c r="G532" s="109"/>
    </row>
    <row r="533" spans="1:7">
      <c r="A533" s="83"/>
      <c r="B533" s="106"/>
      <c r="C533" s="107"/>
      <c r="D533" s="86"/>
      <c r="E533" s="108"/>
      <c r="F533" s="109"/>
      <c r="G533" s="109"/>
    </row>
    <row r="534" spans="1:7">
      <c r="A534" s="83"/>
      <c r="B534" s="106"/>
      <c r="C534" s="107"/>
      <c r="D534" s="86"/>
      <c r="E534" s="108"/>
      <c r="F534" s="109"/>
      <c r="G534" s="109"/>
    </row>
    <row r="535" spans="1:7">
      <c r="A535" s="83"/>
      <c r="B535" s="106"/>
      <c r="C535" s="107"/>
      <c r="D535" s="86"/>
      <c r="E535" s="108"/>
      <c r="F535" s="109"/>
      <c r="G535" s="109"/>
    </row>
    <row r="536" spans="1:7">
      <c r="A536" s="83"/>
      <c r="B536" s="106"/>
      <c r="C536" s="107"/>
      <c r="D536" s="86"/>
      <c r="E536" s="108"/>
      <c r="F536" s="109"/>
      <c r="G536" s="109"/>
    </row>
    <row r="537" spans="1:7">
      <c r="A537" s="83"/>
      <c r="B537" s="106"/>
      <c r="C537" s="107"/>
      <c r="D537" s="86"/>
      <c r="E537" s="108"/>
      <c r="F537" s="109"/>
      <c r="G537" s="109"/>
    </row>
    <row r="538" spans="1:7">
      <c r="A538" s="83"/>
      <c r="B538" s="106"/>
      <c r="C538" s="107"/>
      <c r="D538" s="86"/>
      <c r="E538" s="108"/>
      <c r="F538" s="109"/>
      <c r="G538" s="109"/>
    </row>
    <row r="539" spans="1:7">
      <c r="A539" s="83"/>
      <c r="B539" s="106"/>
      <c r="C539" s="107"/>
      <c r="D539" s="86"/>
      <c r="E539" s="108"/>
      <c r="F539" s="109"/>
      <c r="G539" s="109"/>
    </row>
    <row r="540" spans="1:7">
      <c r="A540" s="83"/>
      <c r="B540" s="106"/>
      <c r="C540" s="107"/>
      <c r="D540" s="86"/>
      <c r="E540" s="108"/>
      <c r="F540" s="109"/>
      <c r="G540" s="109"/>
    </row>
    <row r="541" spans="1:7">
      <c r="A541" s="83"/>
      <c r="B541" s="106"/>
      <c r="C541" s="107"/>
      <c r="D541" s="86"/>
      <c r="E541" s="108"/>
      <c r="F541" s="109"/>
      <c r="G541" s="109"/>
    </row>
    <row r="542" spans="1:7">
      <c r="A542" s="83"/>
      <c r="B542" s="106"/>
      <c r="C542" s="107"/>
      <c r="D542" s="86"/>
      <c r="E542" s="108"/>
      <c r="F542" s="109"/>
      <c r="G542" s="109"/>
    </row>
    <row r="543" spans="1:7">
      <c r="A543" s="83"/>
      <c r="B543" s="106"/>
      <c r="C543" s="107"/>
      <c r="D543" s="86"/>
      <c r="E543" s="108"/>
      <c r="F543" s="109"/>
      <c r="G543" s="109"/>
    </row>
    <row r="544" spans="1:7">
      <c r="A544" s="83"/>
      <c r="B544" s="106"/>
      <c r="C544" s="107"/>
      <c r="D544" s="86"/>
      <c r="E544" s="108"/>
      <c r="F544" s="109"/>
      <c r="G544" s="109"/>
    </row>
    <row r="545" spans="1:7">
      <c r="A545" s="83"/>
      <c r="B545" s="106"/>
      <c r="C545" s="107"/>
      <c r="D545" s="86"/>
      <c r="E545" s="108"/>
      <c r="F545" s="109"/>
      <c r="G545" s="109"/>
    </row>
    <row r="546" spans="1:7">
      <c r="A546" s="83"/>
      <c r="B546" s="106"/>
      <c r="C546" s="107"/>
      <c r="D546" s="86"/>
      <c r="E546" s="108"/>
      <c r="F546" s="109"/>
      <c r="G546" s="109"/>
    </row>
    <row r="547" spans="1:7">
      <c r="A547" s="83"/>
      <c r="B547" s="106"/>
      <c r="C547" s="107"/>
      <c r="D547" s="86"/>
      <c r="E547" s="108"/>
      <c r="F547" s="109"/>
      <c r="G547" s="109"/>
    </row>
    <row r="548" spans="1:7">
      <c r="A548" s="83"/>
      <c r="B548" s="106"/>
      <c r="C548" s="107"/>
      <c r="D548" s="86"/>
      <c r="E548" s="108"/>
      <c r="F548" s="109"/>
      <c r="G548" s="109"/>
    </row>
    <row r="549" spans="1:7">
      <c r="A549" s="83"/>
      <c r="B549" s="106"/>
      <c r="C549" s="107"/>
      <c r="D549" s="86"/>
      <c r="E549" s="108"/>
      <c r="F549" s="109"/>
      <c r="G549" s="109"/>
    </row>
    <row r="550" spans="1:7">
      <c r="A550" s="83"/>
      <c r="B550" s="106"/>
      <c r="C550" s="107"/>
      <c r="D550" s="86"/>
      <c r="E550" s="108"/>
      <c r="F550" s="109"/>
      <c r="G550" s="109"/>
    </row>
    <row r="551" spans="1:7">
      <c r="A551" s="83"/>
      <c r="B551" s="106"/>
      <c r="C551" s="107"/>
      <c r="D551" s="86"/>
      <c r="E551" s="108"/>
      <c r="F551" s="109"/>
      <c r="G551" s="109"/>
    </row>
    <row r="552" spans="1:7">
      <c r="A552" s="83"/>
      <c r="B552" s="106"/>
      <c r="C552" s="107"/>
      <c r="D552" s="86"/>
      <c r="E552" s="108"/>
      <c r="F552" s="109"/>
      <c r="G552" s="109"/>
    </row>
    <row r="553" spans="1:7">
      <c r="A553" s="83"/>
      <c r="B553" s="106"/>
      <c r="C553" s="107"/>
      <c r="D553" s="86"/>
      <c r="E553" s="108"/>
      <c r="F553" s="109"/>
      <c r="G553" s="109"/>
    </row>
    <row r="554" spans="1:7">
      <c r="A554" s="83"/>
      <c r="B554" s="106"/>
      <c r="C554" s="107"/>
      <c r="D554" s="86"/>
      <c r="E554" s="108"/>
      <c r="F554" s="109"/>
      <c r="G554" s="109"/>
    </row>
    <row r="555" spans="1:7">
      <c r="A555" s="83"/>
      <c r="B555" s="106"/>
      <c r="C555" s="107"/>
      <c r="D555" s="86"/>
      <c r="E555" s="108"/>
      <c r="F555" s="109"/>
      <c r="G555" s="109"/>
    </row>
    <row r="556" spans="1:7">
      <c r="A556" s="83"/>
      <c r="B556" s="106"/>
      <c r="C556" s="107"/>
      <c r="D556" s="86"/>
      <c r="E556" s="108"/>
      <c r="F556" s="109"/>
      <c r="G556" s="109"/>
    </row>
    <row r="557" spans="1:7">
      <c r="A557" s="83"/>
      <c r="B557" s="106"/>
      <c r="C557" s="107"/>
      <c r="D557" s="86"/>
      <c r="E557" s="108"/>
      <c r="F557" s="109"/>
      <c r="G557" s="109"/>
    </row>
    <row r="558" spans="1:7">
      <c r="A558" s="83"/>
      <c r="B558" s="106"/>
      <c r="C558" s="107"/>
      <c r="D558" s="86"/>
      <c r="E558" s="108"/>
      <c r="F558" s="109"/>
      <c r="G558" s="109"/>
    </row>
    <row r="559" spans="1:7">
      <c r="A559" s="83"/>
      <c r="B559" s="106"/>
      <c r="C559" s="107"/>
      <c r="D559" s="86"/>
      <c r="E559" s="108"/>
      <c r="F559" s="109"/>
      <c r="G559" s="109"/>
    </row>
    <row r="560" spans="1:7">
      <c r="A560" s="83"/>
      <c r="B560" s="106"/>
      <c r="C560" s="107"/>
      <c r="D560" s="86"/>
      <c r="E560" s="108"/>
      <c r="F560" s="109"/>
      <c r="G560" s="109"/>
    </row>
    <row r="561" spans="1:7">
      <c r="A561" s="83"/>
      <c r="B561" s="106"/>
      <c r="C561" s="107"/>
      <c r="D561" s="86"/>
      <c r="E561" s="108"/>
      <c r="F561" s="109"/>
      <c r="G561" s="109"/>
    </row>
    <row r="562" spans="1:7">
      <c r="A562" s="83"/>
      <c r="B562" s="106"/>
      <c r="C562" s="107"/>
      <c r="D562" s="86"/>
      <c r="E562" s="108"/>
      <c r="F562" s="109"/>
      <c r="G562" s="109"/>
    </row>
    <row r="563" spans="1:7">
      <c r="A563" s="83"/>
      <c r="B563" s="106"/>
      <c r="C563" s="107"/>
      <c r="D563" s="86"/>
      <c r="E563" s="108"/>
      <c r="F563" s="109"/>
      <c r="G563" s="109"/>
    </row>
    <row r="564" spans="1:7">
      <c r="A564" s="83"/>
      <c r="B564" s="106"/>
      <c r="C564" s="107"/>
      <c r="D564" s="86"/>
      <c r="E564" s="108"/>
      <c r="F564" s="109"/>
      <c r="G564" s="109"/>
    </row>
    <row r="565" spans="1:7">
      <c r="A565" s="83"/>
      <c r="B565" s="106"/>
      <c r="C565" s="107"/>
      <c r="D565" s="86"/>
      <c r="E565" s="108"/>
      <c r="F565" s="109"/>
      <c r="G565" s="109"/>
    </row>
    <row r="566" spans="1:7">
      <c r="A566" s="83"/>
      <c r="B566" s="106"/>
      <c r="C566" s="107"/>
      <c r="D566" s="86"/>
      <c r="E566" s="108"/>
      <c r="F566" s="109"/>
      <c r="G566" s="109"/>
    </row>
    <row r="567" spans="1:7">
      <c r="A567" s="83"/>
      <c r="B567" s="106"/>
      <c r="C567" s="107"/>
      <c r="D567" s="86"/>
      <c r="E567" s="108"/>
      <c r="F567" s="109"/>
      <c r="G567" s="109"/>
    </row>
    <row r="568" spans="1:7">
      <c r="A568" s="83"/>
      <c r="B568" s="106"/>
      <c r="C568" s="107"/>
      <c r="D568" s="86"/>
      <c r="E568" s="108"/>
      <c r="F568" s="109"/>
      <c r="G568" s="109"/>
    </row>
    <row r="569" spans="1:7">
      <c r="A569" s="83"/>
      <c r="B569" s="106"/>
      <c r="C569" s="107"/>
      <c r="D569" s="86"/>
      <c r="E569" s="108"/>
      <c r="F569" s="109"/>
      <c r="G569" s="109"/>
    </row>
    <row r="570" spans="1:7">
      <c r="A570" s="83"/>
      <c r="B570" s="106"/>
      <c r="C570" s="107"/>
      <c r="D570" s="86"/>
      <c r="E570" s="108"/>
      <c r="F570" s="109"/>
      <c r="G570" s="109"/>
    </row>
    <row r="571" spans="1:7">
      <c r="A571" s="83"/>
      <c r="B571" s="106"/>
      <c r="C571" s="107"/>
      <c r="D571" s="86"/>
      <c r="E571" s="108"/>
      <c r="F571" s="109"/>
      <c r="G571" s="109"/>
    </row>
    <row r="572" spans="1:7">
      <c r="A572" s="83"/>
      <c r="B572" s="106"/>
      <c r="C572" s="107"/>
      <c r="D572" s="86"/>
      <c r="E572" s="108"/>
      <c r="F572" s="109"/>
      <c r="G572" s="109"/>
    </row>
    <row r="573" spans="1:7">
      <c r="A573" s="83"/>
      <c r="B573" s="106"/>
      <c r="C573" s="107"/>
      <c r="D573" s="86"/>
      <c r="E573" s="108"/>
      <c r="F573" s="109"/>
      <c r="G573" s="109"/>
    </row>
    <row r="574" spans="1:7">
      <c r="A574" s="83"/>
      <c r="B574" s="106"/>
      <c r="C574" s="107"/>
      <c r="D574" s="86"/>
      <c r="E574" s="108"/>
      <c r="F574" s="109"/>
      <c r="G574" s="109"/>
    </row>
    <row r="575" spans="1:7">
      <c r="A575" s="83"/>
      <c r="B575" s="106"/>
      <c r="C575" s="107"/>
      <c r="D575" s="86"/>
      <c r="E575" s="108"/>
      <c r="F575" s="109"/>
      <c r="G575" s="109"/>
    </row>
    <row r="576" spans="1:7">
      <c r="A576" s="83"/>
      <c r="B576" s="106"/>
      <c r="C576" s="107"/>
      <c r="D576" s="86"/>
      <c r="E576" s="108"/>
      <c r="F576" s="109"/>
      <c r="G576" s="109"/>
    </row>
    <row r="577" spans="1:7">
      <c r="A577" s="83"/>
      <c r="B577" s="106"/>
      <c r="C577" s="107"/>
      <c r="D577" s="86"/>
      <c r="E577" s="108"/>
      <c r="F577" s="109"/>
      <c r="G577" s="109"/>
    </row>
    <row r="578" spans="1:7">
      <c r="A578" s="83"/>
      <c r="B578" s="106"/>
      <c r="C578" s="107"/>
      <c r="D578" s="86"/>
      <c r="E578" s="108"/>
      <c r="F578" s="109"/>
      <c r="G578" s="109"/>
    </row>
    <row r="579" spans="1:7">
      <c r="A579" s="83"/>
      <c r="B579" s="106"/>
      <c r="C579" s="107"/>
      <c r="D579" s="86"/>
      <c r="E579" s="108"/>
      <c r="F579" s="109"/>
      <c r="G579" s="109"/>
    </row>
    <row r="580" spans="1:7">
      <c r="A580" s="83"/>
      <c r="B580" s="106"/>
      <c r="C580" s="107"/>
      <c r="D580" s="86"/>
      <c r="E580" s="108"/>
      <c r="F580" s="109"/>
      <c r="G580" s="109"/>
    </row>
    <row r="581" spans="1:7">
      <c r="A581" s="83"/>
      <c r="B581" s="106"/>
      <c r="C581" s="107"/>
      <c r="D581" s="86"/>
      <c r="E581" s="108"/>
      <c r="F581" s="109"/>
      <c r="G581" s="109"/>
    </row>
    <row r="582" spans="1:7">
      <c r="A582" s="83"/>
      <c r="B582" s="106"/>
      <c r="C582" s="107"/>
      <c r="D582" s="86"/>
      <c r="E582" s="108"/>
      <c r="F582" s="109"/>
      <c r="G582" s="109"/>
    </row>
    <row r="583" spans="1:7">
      <c r="A583" s="83"/>
      <c r="B583" s="106"/>
      <c r="C583" s="107"/>
      <c r="D583" s="86"/>
      <c r="E583" s="108"/>
      <c r="F583" s="109"/>
      <c r="G583" s="109"/>
    </row>
    <row r="584" spans="1:7">
      <c r="A584" s="83"/>
      <c r="B584" s="106"/>
      <c r="C584" s="107"/>
      <c r="D584" s="86"/>
      <c r="E584" s="108"/>
      <c r="F584" s="109"/>
      <c r="G584" s="109"/>
    </row>
    <row r="585" spans="1:7">
      <c r="A585" s="83"/>
      <c r="B585" s="106"/>
      <c r="C585" s="107"/>
      <c r="D585" s="86"/>
      <c r="E585" s="108"/>
      <c r="F585" s="109"/>
      <c r="G585" s="109"/>
    </row>
    <row r="586" spans="1:7">
      <c r="A586" s="83"/>
      <c r="B586" s="106"/>
      <c r="C586" s="107"/>
      <c r="D586" s="86"/>
      <c r="E586" s="108"/>
      <c r="F586" s="109"/>
      <c r="G586" s="109"/>
    </row>
    <row r="587" spans="1:7">
      <c r="A587" s="83"/>
      <c r="B587" s="106"/>
      <c r="C587" s="107"/>
      <c r="D587" s="86"/>
      <c r="E587" s="108"/>
      <c r="F587" s="109"/>
      <c r="G587" s="109"/>
    </row>
    <row r="588" spans="1:7">
      <c r="A588" s="83"/>
      <c r="B588" s="106"/>
      <c r="C588" s="107"/>
      <c r="D588" s="86"/>
      <c r="E588" s="108"/>
      <c r="F588" s="109"/>
      <c r="G588" s="109"/>
    </row>
    <row r="589" spans="1:7">
      <c r="A589" s="83"/>
      <c r="B589" s="106"/>
      <c r="C589" s="107"/>
      <c r="D589" s="86"/>
      <c r="E589" s="108"/>
      <c r="F589" s="109"/>
      <c r="G589" s="109"/>
    </row>
    <row r="590" spans="1:7">
      <c r="A590" s="83"/>
      <c r="B590" s="106"/>
      <c r="C590" s="107"/>
      <c r="D590" s="86"/>
      <c r="E590" s="108"/>
      <c r="F590" s="109"/>
      <c r="G590" s="109"/>
    </row>
    <row r="591" spans="1:7">
      <c r="A591" s="83"/>
      <c r="B591" s="106"/>
      <c r="C591" s="107"/>
      <c r="D591" s="86"/>
      <c r="E591" s="108"/>
      <c r="F591" s="109"/>
      <c r="G591" s="109"/>
    </row>
    <row r="592" spans="1:7">
      <c r="A592" s="83"/>
      <c r="B592" s="106"/>
      <c r="C592" s="107"/>
      <c r="D592" s="86"/>
      <c r="E592" s="108"/>
      <c r="F592" s="109"/>
      <c r="G592" s="109"/>
    </row>
    <row r="593" spans="1:7">
      <c r="A593" s="83"/>
      <c r="B593" s="106"/>
      <c r="C593" s="107"/>
      <c r="D593" s="86"/>
      <c r="E593" s="108"/>
      <c r="F593" s="109"/>
      <c r="G593" s="109"/>
    </row>
    <row r="594" spans="1:7">
      <c r="A594" s="83"/>
      <c r="B594" s="106"/>
      <c r="C594" s="107"/>
      <c r="D594" s="86"/>
      <c r="E594" s="108"/>
      <c r="F594" s="109"/>
      <c r="G594" s="109"/>
    </row>
    <row r="595" spans="1:7">
      <c r="A595" s="83"/>
      <c r="B595" s="106"/>
      <c r="C595" s="107"/>
      <c r="D595" s="86"/>
      <c r="E595" s="108"/>
      <c r="F595" s="109"/>
      <c r="G595" s="109"/>
    </row>
    <row r="596" spans="1:7">
      <c r="A596" s="83"/>
      <c r="B596" s="106"/>
      <c r="C596" s="107"/>
      <c r="D596" s="86"/>
      <c r="E596" s="108"/>
      <c r="F596" s="109"/>
      <c r="G596" s="109"/>
    </row>
    <row r="597" spans="1:7">
      <c r="A597" s="83"/>
      <c r="B597" s="106"/>
      <c r="C597" s="107"/>
      <c r="D597" s="86"/>
      <c r="E597" s="108"/>
      <c r="F597" s="109"/>
      <c r="G597" s="109"/>
    </row>
    <row r="598" spans="1:7">
      <c r="A598" s="83"/>
      <c r="B598" s="106"/>
      <c r="C598" s="107"/>
      <c r="D598" s="86"/>
      <c r="E598" s="108"/>
      <c r="F598" s="109"/>
      <c r="G598" s="109"/>
    </row>
    <row r="599" spans="1:7">
      <c r="A599" s="83"/>
      <c r="B599" s="106"/>
      <c r="C599" s="107"/>
      <c r="D599" s="86"/>
      <c r="E599" s="108"/>
      <c r="F599" s="109"/>
      <c r="G599" s="109"/>
    </row>
    <row r="600" spans="1:7">
      <c r="A600" s="83"/>
      <c r="B600" s="106"/>
      <c r="C600" s="107"/>
      <c r="D600" s="86"/>
      <c r="E600" s="108"/>
      <c r="F600" s="109"/>
      <c r="G600" s="109"/>
    </row>
    <row r="601" spans="1:7">
      <c r="A601" s="83"/>
      <c r="B601" s="106"/>
      <c r="C601" s="107"/>
      <c r="D601" s="86"/>
      <c r="E601" s="108"/>
      <c r="F601" s="109"/>
      <c r="G601" s="109"/>
    </row>
    <row r="602" spans="1:7">
      <c r="A602" s="83"/>
      <c r="B602" s="106"/>
      <c r="C602" s="107"/>
      <c r="D602" s="86"/>
      <c r="E602" s="108"/>
      <c r="F602" s="109"/>
      <c r="G602" s="109"/>
    </row>
    <row r="603" spans="1:7">
      <c r="A603" s="83"/>
      <c r="B603" s="106"/>
      <c r="C603" s="107"/>
      <c r="D603" s="86"/>
      <c r="E603" s="108"/>
      <c r="F603" s="109"/>
      <c r="G603" s="109"/>
    </row>
    <row r="604" spans="1:7">
      <c r="A604" s="83"/>
      <c r="B604" s="106"/>
      <c r="C604" s="107"/>
      <c r="D604" s="86"/>
      <c r="E604" s="108"/>
      <c r="F604" s="109"/>
      <c r="G604" s="109"/>
    </row>
    <row r="605" spans="1:7">
      <c r="A605" s="83"/>
      <c r="B605" s="106"/>
      <c r="C605" s="107"/>
      <c r="D605" s="86"/>
      <c r="E605" s="108"/>
      <c r="F605" s="109"/>
      <c r="G605" s="109"/>
    </row>
    <row r="606" spans="1:7">
      <c r="A606" s="83"/>
      <c r="B606" s="106"/>
      <c r="C606" s="107"/>
      <c r="D606" s="86"/>
      <c r="E606" s="108"/>
      <c r="F606" s="109"/>
      <c r="G606" s="109"/>
    </row>
    <row r="607" spans="1:7">
      <c r="A607" s="83"/>
      <c r="B607" s="106"/>
      <c r="C607" s="107"/>
      <c r="D607" s="86"/>
      <c r="E607" s="108"/>
      <c r="F607" s="109"/>
      <c r="G607" s="109"/>
    </row>
    <row r="608" spans="1:7">
      <c r="A608" s="83"/>
      <c r="B608" s="106"/>
      <c r="C608" s="107"/>
      <c r="D608" s="86"/>
      <c r="E608" s="108"/>
      <c r="F608" s="109"/>
      <c r="G608" s="109"/>
    </row>
    <row r="609" spans="1:7">
      <c r="A609" s="83"/>
      <c r="B609" s="106"/>
      <c r="C609" s="107"/>
      <c r="D609" s="86"/>
      <c r="E609" s="108"/>
      <c r="F609" s="109"/>
      <c r="G609" s="109"/>
    </row>
    <row r="610" spans="1:7">
      <c r="A610" s="83"/>
      <c r="B610" s="106"/>
      <c r="C610" s="107"/>
      <c r="D610" s="86"/>
      <c r="E610" s="108"/>
      <c r="F610" s="109"/>
      <c r="G610" s="109"/>
    </row>
    <row r="611" spans="1:7">
      <c r="A611" s="83"/>
      <c r="B611" s="106"/>
      <c r="C611" s="107"/>
      <c r="D611" s="86"/>
      <c r="E611" s="108"/>
      <c r="F611" s="109"/>
      <c r="G611" s="109"/>
    </row>
    <row r="612" spans="1:7">
      <c r="A612" s="83"/>
      <c r="B612" s="106"/>
      <c r="C612" s="107"/>
      <c r="D612" s="86"/>
      <c r="E612" s="108"/>
      <c r="F612" s="109"/>
      <c r="G612" s="109"/>
    </row>
    <row r="613" spans="1:7">
      <c r="A613" s="83"/>
      <c r="B613" s="106"/>
      <c r="C613" s="107"/>
      <c r="D613" s="86"/>
      <c r="E613" s="108"/>
      <c r="F613" s="109"/>
      <c r="G613" s="109"/>
    </row>
    <row r="614" spans="1:7">
      <c r="A614" s="83"/>
      <c r="B614" s="106"/>
      <c r="C614" s="107"/>
      <c r="D614" s="86"/>
      <c r="E614" s="108"/>
      <c r="F614" s="109"/>
      <c r="G614" s="109"/>
    </row>
    <row r="615" spans="1:7">
      <c r="A615" s="83"/>
      <c r="B615" s="106"/>
      <c r="C615" s="107"/>
      <c r="D615" s="86"/>
      <c r="E615" s="108"/>
      <c r="F615" s="109"/>
      <c r="G615" s="109"/>
    </row>
    <row r="616" spans="1:7">
      <c r="A616" s="83"/>
      <c r="B616" s="106"/>
      <c r="C616" s="107"/>
      <c r="D616" s="86"/>
      <c r="E616" s="108"/>
      <c r="F616" s="109"/>
      <c r="G616" s="109"/>
    </row>
    <row r="617" spans="1:7">
      <c r="A617" s="83"/>
      <c r="B617" s="106"/>
      <c r="C617" s="107"/>
      <c r="D617" s="86"/>
      <c r="E617" s="108"/>
      <c r="F617" s="109"/>
      <c r="G617" s="109"/>
    </row>
    <row r="618" spans="1:7">
      <c r="A618" s="83"/>
      <c r="B618" s="106"/>
      <c r="C618" s="107"/>
      <c r="D618" s="86"/>
      <c r="E618" s="108"/>
      <c r="F618" s="109"/>
      <c r="G618" s="109"/>
    </row>
    <row r="619" spans="1:7">
      <c r="A619" s="83"/>
      <c r="B619" s="106"/>
      <c r="C619" s="107"/>
      <c r="D619" s="86"/>
      <c r="E619" s="108"/>
      <c r="F619" s="109"/>
      <c r="G619" s="109"/>
    </row>
    <row r="620" spans="1:7">
      <c r="A620" s="83"/>
      <c r="B620" s="106"/>
      <c r="C620" s="107"/>
      <c r="D620" s="86"/>
      <c r="E620" s="108"/>
      <c r="F620" s="109"/>
      <c r="G620" s="109"/>
    </row>
    <row r="621" spans="1:7">
      <c r="A621" s="83"/>
      <c r="B621" s="106"/>
      <c r="C621" s="107"/>
      <c r="D621" s="86"/>
      <c r="E621" s="108"/>
      <c r="F621" s="109"/>
      <c r="G621" s="109"/>
    </row>
    <row r="622" spans="1:7">
      <c r="A622" s="83"/>
      <c r="B622" s="106"/>
      <c r="C622" s="107"/>
      <c r="D622" s="86"/>
      <c r="E622" s="108"/>
      <c r="F622" s="109"/>
      <c r="G622" s="109"/>
    </row>
    <row r="623" spans="1:7">
      <c r="A623" s="83"/>
      <c r="B623" s="106"/>
      <c r="C623" s="107"/>
      <c r="D623" s="86"/>
      <c r="E623" s="108"/>
      <c r="F623" s="109"/>
      <c r="G623" s="109"/>
    </row>
    <row r="624" spans="1:7">
      <c r="A624" s="83"/>
      <c r="B624" s="106"/>
      <c r="C624" s="107"/>
      <c r="D624" s="86"/>
      <c r="E624" s="108"/>
      <c r="F624" s="109"/>
      <c r="G624" s="109"/>
    </row>
    <row r="625" spans="1:7">
      <c r="A625" s="83"/>
      <c r="B625" s="106"/>
      <c r="C625" s="107"/>
      <c r="D625" s="86"/>
      <c r="E625" s="108"/>
      <c r="F625" s="109"/>
      <c r="G625" s="109"/>
    </row>
    <row r="626" spans="1:7">
      <c r="A626" s="83"/>
      <c r="B626" s="106"/>
      <c r="C626" s="107"/>
      <c r="D626" s="86"/>
      <c r="E626" s="108"/>
      <c r="F626" s="109"/>
      <c r="G626" s="109"/>
    </row>
    <row r="627" spans="1:7">
      <c r="A627" s="83"/>
      <c r="B627" s="106"/>
      <c r="C627" s="107"/>
      <c r="D627" s="86"/>
      <c r="E627" s="108"/>
      <c r="F627" s="109"/>
      <c r="G627" s="109"/>
    </row>
    <row r="628" spans="1:7">
      <c r="A628" s="83"/>
      <c r="B628" s="106"/>
      <c r="C628" s="107"/>
      <c r="D628" s="86"/>
      <c r="E628" s="108"/>
      <c r="F628" s="109"/>
      <c r="G628" s="109"/>
    </row>
    <row r="629" spans="1:7">
      <c r="A629" s="83"/>
      <c r="B629" s="106"/>
      <c r="C629" s="107"/>
      <c r="D629" s="86"/>
      <c r="E629" s="108"/>
      <c r="F629" s="109"/>
      <c r="G629" s="109"/>
    </row>
    <row r="630" spans="1:7">
      <c r="A630" s="83"/>
      <c r="B630" s="106"/>
      <c r="C630" s="107"/>
      <c r="D630" s="86"/>
      <c r="E630" s="108"/>
      <c r="F630" s="109"/>
      <c r="G630" s="109"/>
    </row>
    <row r="631" spans="1:7">
      <c r="A631" s="83"/>
      <c r="B631" s="106"/>
      <c r="C631" s="107"/>
      <c r="D631" s="86"/>
      <c r="E631" s="108"/>
      <c r="F631" s="109"/>
      <c r="G631" s="109"/>
    </row>
    <row r="632" spans="1:7">
      <c r="A632" s="83"/>
      <c r="B632" s="106"/>
      <c r="C632" s="107"/>
      <c r="D632" s="86"/>
      <c r="E632" s="108"/>
      <c r="F632" s="109"/>
      <c r="G632" s="109"/>
    </row>
    <row r="633" spans="1:7">
      <c r="A633" s="83"/>
      <c r="B633" s="106"/>
      <c r="C633" s="107"/>
      <c r="D633" s="86"/>
      <c r="E633" s="108"/>
      <c r="F633" s="109"/>
      <c r="G633" s="109"/>
    </row>
    <row r="634" spans="1:7">
      <c r="A634" s="83"/>
      <c r="B634" s="106"/>
      <c r="C634" s="107"/>
      <c r="D634" s="86"/>
      <c r="E634" s="108"/>
      <c r="F634" s="109"/>
      <c r="G634" s="109"/>
    </row>
    <row r="635" spans="1:7">
      <c r="A635" s="83"/>
      <c r="B635" s="106"/>
      <c r="C635" s="107"/>
      <c r="D635" s="86"/>
      <c r="E635" s="108"/>
      <c r="F635" s="109"/>
      <c r="G635" s="109"/>
    </row>
    <row r="636" spans="1:7">
      <c r="A636" s="83"/>
      <c r="B636" s="106"/>
      <c r="C636" s="107"/>
      <c r="D636" s="86"/>
      <c r="E636" s="108"/>
      <c r="F636" s="109"/>
      <c r="G636" s="109"/>
    </row>
    <row r="637" spans="1:7">
      <c r="A637" s="83"/>
      <c r="B637" s="106"/>
      <c r="C637" s="107"/>
      <c r="D637" s="86"/>
      <c r="E637" s="108"/>
      <c r="F637" s="109"/>
      <c r="G637" s="109"/>
    </row>
    <row r="638" spans="1:7">
      <c r="A638" s="83"/>
      <c r="B638" s="106"/>
      <c r="C638" s="107"/>
      <c r="D638" s="86"/>
      <c r="E638" s="108"/>
      <c r="F638" s="109"/>
      <c r="G638" s="109"/>
    </row>
    <row r="639" spans="1:7">
      <c r="A639" s="83"/>
      <c r="B639" s="106"/>
      <c r="C639" s="107"/>
      <c r="D639" s="86"/>
      <c r="E639" s="108"/>
      <c r="F639" s="109"/>
      <c r="G639" s="109"/>
    </row>
    <row r="640" spans="1:7">
      <c r="A640" s="83"/>
      <c r="B640" s="106"/>
      <c r="C640" s="107"/>
      <c r="D640" s="86"/>
      <c r="E640" s="108"/>
      <c r="F640" s="109"/>
      <c r="G640" s="109"/>
    </row>
    <row r="641" spans="1:7">
      <c r="A641" s="83"/>
      <c r="B641" s="106"/>
      <c r="C641" s="107"/>
      <c r="D641" s="86"/>
      <c r="E641" s="108"/>
      <c r="F641" s="109"/>
      <c r="G641" s="109"/>
    </row>
    <row r="642" spans="1:7">
      <c r="A642" s="83"/>
      <c r="B642" s="106"/>
      <c r="C642" s="107"/>
      <c r="D642" s="86"/>
      <c r="E642" s="108"/>
      <c r="F642" s="109"/>
      <c r="G642" s="109"/>
    </row>
    <row r="643" spans="1:7">
      <c r="A643" s="83"/>
      <c r="B643" s="106"/>
      <c r="C643" s="107"/>
      <c r="D643" s="86"/>
      <c r="E643" s="108"/>
      <c r="F643" s="109"/>
      <c r="G643" s="109"/>
    </row>
    <row r="644" spans="1:7">
      <c r="A644" s="83"/>
      <c r="B644" s="106"/>
      <c r="C644" s="107"/>
      <c r="D644" s="86"/>
      <c r="E644" s="108"/>
      <c r="F644" s="109"/>
      <c r="G644" s="109"/>
    </row>
    <row r="645" spans="1:7">
      <c r="A645" s="83"/>
      <c r="B645" s="106"/>
      <c r="C645" s="107"/>
      <c r="D645" s="86"/>
      <c r="E645" s="108"/>
      <c r="F645" s="109"/>
      <c r="G645" s="109"/>
    </row>
    <row r="646" spans="1:7">
      <c r="A646" s="83"/>
      <c r="B646" s="106"/>
      <c r="C646" s="107"/>
      <c r="D646" s="86"/>
      <c r="E646" s="108"/>
      <c r="F646" s="109"/>
      <c r="G646" s="109"/>
    </row>
    <row r="647" spans="1:7">
      <c r="A647" s="83"/>
      <c r="B647" s="106"/>
      <c r="C647" s="107"/>
      <c r="D647" s="86"/>
      <c r="E647" s="108"/>
      <c r="F647" s="109"/>
      <c r="G647" s="109"/>
    </row>
    <row r="648" spans="1:7">
      <c r="A648" s="83"/>
      <c r="B648" s="106"/>
      <c r="C648" s="107"/>
      <c r="D648" s="86"/>
      <c r="E648" s="108"/>
      <c r="F648" s="109"/>
      <c r="G648" s="109"/>
    </row>
    <row r="649" spans="1:7">
      <c r="A649" s="83"/>
      <c r="B649" s="106"/>
      <c r="C649" s="107"/>
      <c r="D649" s="86"/>
      <c r="E649" s="108"/>
      <c r="F649" s="109"/>
      <c r="G649" s="109"/>
    </row>
    <row r="650" spans="1:7">
      <c r="A650" s="83"/>
      <c r="B650" s="106"/>
      <c r="C650" s="107"/>
      <c r="D650" s="86"/>
      <c r="E650" s="108"/>
      <c r="F650" s="109"/>
      <c r="G650" s="109"/>
    </row>
    <row r="651" spans="1:7">
      <c r="A651" s="83"/>
      <c r="B651" s="106"/>
      <c r="C651" s="107"/>
      <c r="D651" s="86"/>
      <c r="E651" s="108"/>
      <c r="F651" s="109"/>
      <c r="G651" s="109"/>
    </row>
    <row r="652" spans="1:7">
      <c r="A652" s="83"/>
      <c r="B652" s="106"/>
      <c r="C652" s="107"/>
      <c r="D652" s="86"/>
      <c r="E652" s="108"/>
      <c r="F652" s="109"/>
      <c r="G652" s="109"/>
    </row>
    <row r="653" spans="1:7">
      <c r="A653" s="83"/>
      <c r="B653" s="106"/>
      <c r="C653" s="107"/>
      <c r="D653" s="86"/>
      <c r="E653" s="108"/>
      <c r="F653" s="109"/>
      <c r="G653" s="109"/>
    </row>
    <row r="654" spans="1:7">
      <c r="A654" s="83"/>
      <c r="B654" s="106"/>
      <c r="C654" s="107"/>
      <c r="D654" s="86"/>
      <c r="E654" s="108"/>
      <c r="F654" s="109"/>
      <c r="G654" s="109"/>
    </row>
    <row r="655" spans="1:7">
      <c r="A655" s="83"/>
      <c r="B655" s="106"/>
      <c r="C655" s="107"/>
      <c r="D655" s="86"/>
      <c r="E655" s="108"/>
      <c r="F655" s="109"/>
      <c r="G655" s="109"/>
    </row>
    <row r="656" spans="1:7">
      <c r="A656" s="83"/>
      <c r="B656" s="106"/>
      <c r="C656" s="107"/>
      <c r="D656" s="86"/>
      <c r="E656" s="108"/>
      <c r="F656" s="109"/>
      <c r="G656" s="109"/>
    </row>
    <row r="657" spans="1:7">
      <c r="A657" s="83"/>
      <c r="B657" s="106"/>
      <c r="C657" s="107"/>
      <c r="D657" s="86"/>
      <c r="E657" s="108"/>
      <c r="F657" s="109"/>
      <c r="G657" s="109"/>
    </row>
    <row r="658" spans="1:7">
      <c r="A658" s="83"/>
      <c r="B658" s="106"/>
      <c r="C658" s="107"/>
      <c r="D658" s="86"/>
      <c r="E658" s="108"/>
      <c r="F658" s="109"/>
      <c r="G658" s="109"/>
    </row>
    <row r="659" spans="1:7">
      <c r="A659" s="83"/>
      <c r="B659" s="106"/>
      <c r="C659" s="107"/>
      <c r="D659" s="86"/>
      <c r="E659" s="108"/>
      <c r="F659" s="109"/>
      <c r="G659" s="109"/>
    </row>
    <row r="660" spans="1:7">
      <c r="A660" s="83"/>
      <c r="B660" s="106"/>
      <c r="C660" s="107"/>
      <c r="D660" s="86"/>
      <c r="E660" s="108"/>
      <c r="F660" s="109"/>
      <c r="G660" s="109"/>
    </row>
    <row r="661" spans="1:7">
      <c r="A661" s="83"/>
      <c r="B661" s="106"/>
      <c r="C661" s="107"/>
      <c r="D661" s="86"/>
      <c r="E661" s="108"/>
      <c r="F661" s="109"/>
      <c r="G661" s="109"/>
    </row>
    <row r="662" spans="1:7">
      <c r="A662" s="83"/>
      <c r="B662" s="106"/>
      <c r="C662" s="107"/>
      <c r="D662" s="86"/>
      <c r="E662" s="108"/>
      <c r="F662" s="109"/>
      <c r="G662" s="109"/>
    </row>
    <row r="663" spans="1:7">
      <c r="A663" s="83"/>
      <c r="B663" s="106"/>
      <c r="C663" s="107"/>
      <c r="D663" s="86"/>
      <c r="E663" s="108"/>
      <c r="F663" s="109"/>
      <c r="G663" s="109"/>
    </row>
    <row r="664" spans="1:7">
      <c r="A664" s="83"/>
      <c r="B664" s="106"/>
      <c r="C664" s="107"/>
      <c r="D664" s="86"/>
      <c r="E664" s="108"/>
      <c r="F664" s="109"/>
      <c r="G664" s="109"/>
    </row>
    <row r="665" spans="1:7">
      <c r="A665" s="83"/>
      <c r="B665" s="106"/>
      <c r="C665" s="107"/>
      <c r="D665" s="86"/>
      <c r="E665" s="108"/>
      <c r="F665" s="109"/>
      <c r="G665" s="109"/>
    </row>
    <row r="666" spans="1:7">
      <c r="A666" s="83"/>
      <c r="B666" s="106"/>
      <c r="C666" s="107"/>
      <c r="D666" s="86"/>
      <c r="E666" s="108"/>
      <c r="F666" s="109"/>
      <c r="G666" s="109"/>
    </row>
    <row r="667" spans="1:7">
      <c r="A667" s="83"/>
      <c r="B667" s="106"/>
      <c r="C667" s="107"/>
      <c r="D667" s="86"/>
      <c r="E667" s="108"/>
      <c r="F667" s="109"/>
      <c r="G667" s="109"/>
    </row>
    <row r="668" spans="1:7">
      <c r="A668" s="83"/>
      <c r="B668" s="106"/>
      <c r="C668" s="107"/>
      <c r="D668" s="86"/>
      <c r="E668" s="108"/>
      <c r="F668" s="109"/>
      <c r="G668" s="109"/>
    </row>
    <row r="669" spans="1:7">
      <c r="A669" s="83"/>
      <c r="B669" s="106"/>
      <c r="C669" s="107"/>
      <c r="D669" s="86"/>
      <c r="E669" s="108"/>
      <c r="F669" s="109"/>
      <c r="G669" s="109"/>
    </row>
    <row r="670" spans="1:7">
      <c r="A670" s="83"/>
      <c r="B670" s="106"/>
      <c r="C670" s="107"/>
      <c r="D670" s="86"/>
      <c r="E670" s="108"/>
      <c r="F670" s="109"/>
      <c r="G670" s="109"/>
    </row>
    <row r="671" spans="1:7">
      <c r="A671" s="83"/>
      <c r="B671" s="106"/>
      <c r="C671" s="107"/>
      <c r="D671" s="86"/>
      <c r="E671" s="108"/>
      <c r="F671" s="109"/>
      <c r="G671" s="109"/>
    </row>
    <row r="672" spans="1:7">
      <c r="A672" s="83"/>
      <c r="B672" s="106"/>
      <c r="C672" s="107"/>
      <c r="D672" s="86"/>
      <c r="E672" s="108"/>
      <c r="F672" s="109"/>
      <c r="G672" s="109"/>
    </row>
    <row r="673" spans="1:7">
      <c r="A673" s="83"/>
      <c r="B673" s="106"/>
      <c r="C673" s="107"/>
      <c r="D673" s="86"/>
      <c r="E673" s="108"/>
      <c r="F673" s="109"/>
      <c r="G673" s="109"/>
    </row>
    <row r="674" spans="1:7">
      <c r="A674" s="83"/>
      <c r="B674" s="106"/>
      <c r="C674" s="107"/>
      <c r="D674" s="86"/>
      <c r="E674" s="108"/>
      <c r="F674" s="109"/>
      <c r="G674" s="109"/>
    </row>
    <row r="675" spans="1:7">
      <c r="A675" s="83"/>
      <c r="B675" s="106"/>
      <c r="C675" s="107"/>
      <c r="D675" s="86"/>
      <c r="E675" s="108"/>
      <c r="F675" s="109"/>
      <c r="G675" s="109"/>
    </row>
    <row r="676" spans="1:7">
      <c r="A676" s="83"/>
      <c r="B676" s="106"/>
      <c r="C676" s="107"/>
      <c r="D676" s="86"/>
      <c r="E676" s="108"/>
      <c r="F676" s="109"/>
      <c r="G676" s="109"/>
    </row>
    <row r="677" spans="1:7">
      <c r="A677" s="83"/>
      <c r="B677" s="106"/>
      <c r="C677" s="107"/>
      <c r="D677" s="86"/>
      <c r="E677" s="108"/>
      <c r="F677" s="109"/>
      <c r="G677" s="109"/>
    </row>
    <row r="678" spans="1:7">
      <c r="A678" s="83"/>
      <c r="B678" s="106"/>
      <c r="C678" s="107"/>
      <c r="D678" s="86"/>
      <c r="E678" s="108"/>
      <c r="F678" s="109"/>
      <c r="G678" s="109"/>
    </row>
    <row r="679" spans="1:7">
      <c r="A679" s="83"/>
      <c r="B679" s="106"/>
      <c r="C679" s="107"/>
      <c r="D679" s="86"/>
      <c r="E679" s="108"/>
      <c r="F679" s="109"/>
      <c r="G679" s="109"/>
    </row>
    <row r="680" spans="1:7">
      <c r="A680" s="83"/>
      <c r="B680" s="106"/>
      <c r="C680" s="107"/>
      <c r="D680" s="86"/>
      <c r="E680" s="108"/>
      <c r="F680" s="109"/>
      <c r="G680" s="109"/>
    </row>
    <row r="681" spans="1:7">
      <c r="A681" s="83"/>
      <c r="B681" s="106"/>
      <c r="C681" s="107"/>
      <c r="D681" s="86"/>
      <c r="E681" s="108"/>
      <c r="F681" s="109"/>
      <c r="G681" s="109"/>
    </row>
    <row r="682" spans="1:7">
      <c r="A682" s="83"/>
      <c r="B682" s="106"/>
      <c r="C682" s="107"/>
      <c r="D682" s="86"/>
      <c r="E682" s="108"/>
      <c r="F682" s="109"/>
      <c r="G682" s="109"/>
    </row>
    <row r="683" spans="1:7">
      <c r="A683" s="83"/>
      <c r="B683" s="106"/>
      <c r="C683" s="107"/>
      <c r="D683" s="86"/>
      <c r="E683" s="108"/>
      <c r="F683" s="109"/>
      <c r="G683" s="109"/>
    </row>
    <row r="684" spans="1:7">
      <c r="A684" s="83"/>
      <c r="B684" s="106"/>
      <c r="C684" s="107"/>
      <c r="D684" s="86"/>
      <c r="E684" s="108"/>
      <c r="F684" s="109"/>
      <c r="G684" s="109"/>
    </row>
    <row r="685" spans="1:7">
      <c r="A685" s="83"/>
      <c r="B685" s="106"/>
      <c r="C685" s="107"/>
      <c r="D685" s="86"/>
      <c r="E685" s="108"/>
      <c r="F685" s="109"/>
      <c r="G685" s="109"/>
    </row>
    <row r="686" spans="1:7">
      <c r="A686" s="83"/>
      <c r="B686" s="106"/>
      <c r="C686" s="107"/>
      <c r="D686" s="86"/>
      <c r="E686" s="108"/>
      <c r="F686" s="109"/>
      <c r="G686" s="109"/>
    </row>
    <row r="687" spans="1:7">
      <c r="A687" s="83"/>
      <c r="B687" s="106"/>
      <c r="C687" s="107"/>
      <c r="D687" s="86"/>
      <c r="E687" s="108"/>
      <c r="F687" s="109"/>
      <c r="G687" s="109"/>
    </row>
    <row r="688" spans="1:7">
      <c r="A688" s="83"/>
      <c r="B688" s="106"/>
      <c r="C688" s="107"/>
      <c r="D688" s="86"/>
      <c r="E688" s="108"/>
      <c r="F688" s="109"/>
      <c r="G688" s="109"/>
    </row>
    <row r="689" spans="1:7">
      <c r="A689" s="83"/>
      <c r="B689" s="106"/>
      <c r="C689" s="107"/>
      <c r="D689" s="86"/>
      <c r="E689" s="108"/>
      <c r="F689" s="109"/>
      <c r="G689" s="109"/>
    </row>
    <row r="690" spans="1:7">
      <c r="A690" s="83"/>
      <c r="B690" s="106"/>
      <c r="C690" s="107"/>
      <c r="D690" s="86"/>
      <c r="E690" s="108"/>
      <c r="F690" s="109"/>
      <c r="G690" s="109"/>
    </row>
    <row r="691" spans="1:7">
      <c r="A691" s="83"/>
      <c r="B691" s="106"/>
      <c r="C691" s="107"/>
      <c r="D691" s="86"/>
      <c r="E691" s="108"/>
      <c r="F691" s="109"/>
      <c r="G691" s="109"/>
    </row>
    <row r="692" spans="1:7">
      <c r="A692" s="83"/>
      <c r="B692" s="106"/>
      <c r="C692" s="107"/>
      <c r="D692" s="86"/>
      <c r="E692" s="108"/>
      <c r="F692" s="109"/>
      <c r="G692" s="109"/>
    </row>
    <row r="693" spans="1:7">
      <c r="A693" s="83"/>
      <c r="B693" s="106"/>
      <c r="C693" s="107"/>
      <c r="D693" s="86"/>
      <c r="E693" s="108"/>
      <c r="F693" s="109"/>
      <c r="G693" s="109"/>
    </row>
    <row r="694" spans="1:7">
      <c r="A694" s="83"/>
      <c r="B694" s="106"/>
      <c r="C694" s="107"/>
      <c r="D694" s="86"/>
      <c r="E694" s="108"/>
      <c r="F694" s="109"/>
      <c r="G694" s="109"/>
    </row>
    <row r="695" spans="1:7">
      <c r="A695" s="83"/>
      <c r="B695" s="106"/>
      <c r="C695" s="107"/>
      <c r="D695" s="86"/>
      <c r="E695" s="108"/>
      <c r="F695" s="109"/>
      <c r="G695" s="109"/>
    </row>
    <row r="696" spans="1:7">
      <c r="A696" s="83"/>
      <c r="B696" s="106"/>
      <c r="C696" s="107"/>
      <c r="D696" s="86"/>
      <c r="E696" s="108"/>
      <c r="F696" s="109"/>
      <c r="G696" s="109"/>
    </row>
    <row r="697" spans="1:7">
      <c r="A697" s="83"/>
      <c r="B697" s="106"/>
      <c r="C697" s="107"/>
      <c r="D697" s="86"/>
      <c r="E697" s="108"/>
      <c r="F697" s="109"/>
      <c r="G697" s="109"/>
    </row>
    <row r="698" spans="1:7">
      <c r="A698" s="83"/>
      <c r="B698" s="106"/>
      <c r="C698" s="107"/>
      <c r="D698" s="86"/>
      <c r="E698" s="108"/>
      <c r="F698" s="109"/>
      <c r="G698" s="109"/>
    </row>
    <row r="699" spans="1:7">
      <c r="A699" s="83"/>
      <c r="B699" s="106"/>
      <c r="C699" s="107"/>
      <c r="D699" s="86"/>
      <c r="E699" s="108"/>
      <c r="F699" s="109"/>
      <c r="G699" s="109"/>
    </row>
    <row r="700" spans="1:7">
      <c r="A700" s="83"/>
      <c r="B700" s="106"/>
      <c r="C700" s="107"/>
      <c r="D700" s="86"/>
      <c r="E700" s="108"/>
      <c r="F700" s="109"/>
      <c r="G700" s="109"/>
    </row>
    <row r="701" spans="1:7">
      <c r="A701" s="83"/>
      <c r="B701" s="106"/>
      <c r="C701" s="107"/>
      <c r="D701" s="86"/>
      <c r="E701" s="108"/>
      <c r="F701" s="109"/>
      <c r="G701" s="109"/>
    </row>
    <row r="702" spans="1:7">
      <c r="A702" s="83"/>
      <c r="B702" s="106"/>
      <c r="C702" s="107"/>
      <c r="D702" s="86"/>
      <c r="E702" s="108"/>
      <c r="F702" s="109"/>
      <c r="G702" s="109"/>
    </row>
    <row r="703" spans="1:7">
      <c r="A703" s="83"/>
      <c r="B703" s="106"/>
      <c r="C703" s="107"/>
      <c r="D703" s="86"/>
      <c r="E703" s="108"/>
      <c r="F703" s="109"/>
      <c r="G703" s="109"/>
    </row>
    <row r="704" spans="1:7">
      <c r="A704" s="83"/>
      <c r="B704" s="106"/>
      <c r="C704" s="107"/>
      <c r="D704" s="86"/>
      <c r="E704" s="108"/>
      <c r="F704" s="109"/>
      <c r="G704" s="109"/>
    </row>
    <row r="705" spans="1:7">
      <c r="A705" s="83"/>
      <c r="B705" s="106"/>
      <c r="C705" s="107"/>
      <c r="D705" s="86"/>
      <c r="E705" s="108"/>
      <c r="F705" s="109"/>
      <c r="G705" s="109"/>
    </row>
    <row r="706" spans="1:7">
      <c r="A706" s="83"/>
      <c r="B706" s="106"/>
      <c r="C706" s="107"/>
      <c r="D706" s="86"/>
      <c r="E706" s="108"/>
      <c r="F706" s="109"/>
      <c r="G706" s="109"/>
    </row>
    <row r="707" spans="1:7">
      <c r="A707" s="83"/>
      <c r="B707" s="106"/>
      <c r="C707" s="107"/>
      <c r="D707" s="86"/>
      <c r="E707" s="108"/>
      <c r="F707" s="109"/>
      <c r="G707" s="109"/>
    </row>
    <row r="708" spans="1:7">
      <c r="A708" s="83"/>
      <c r="B708" s="106"/>
      <c r="C708" s="107"/>
      <c r="D708" s="86"/>
      <c r="E708" s="108"/>
      <c r="F708" s="109"/>
      <c r="G708" s="109"/>
    </row>
    <row r="709" spans="1:7">
      <c r="A709" s="83"/>
      <c r="B709" s="106"/>
      <c r="C709" s="107"/>
      <c r="D709" s="86"/>
      <c r="E709" s="108"/>
      <c r="F709" s="109"/>
      <c r="G709" s="109"/>
    </row>
    <row r="710" spans="1:7">
      <c r="A710" s="83"/>
      <c r="B710" s="106"/>
      <c r="C710" s="107"/>
      <c r="D710" s="86"/>
      <c r="E710" s="108"/>
      <c r="F710" s="109"/>
      <c r="G710" s="109"/>
    </row>
    <row r="711" spans="1:7">
      <c r="A711" s="83"/>
      <c r="B711" s="106"/>
      <c r="C711" s="107"/>
      <c r="D711" s="86"/>
      <c r="E711" s="108"/>
      <c r="F711" s="109"/>
      <c r="G711" s="109"/>
    </row>
    <row r="712" spans="1:7">
      <c r="A712" s="83"/>
      <c r="B712" s="106"/>
      <c r="C712" s="107"/>
      <c r="D712" s="86"/>
      <c r="E712" s="108"/>
      <c r="F712" s="109"/>
      <c r="G712" s="109"/>
    </row>
    <row r="713" spans="1:7">
      <c r="A713" s="83"/>
      <c r="B713" s="106"/>
      <c r="C713" s="107"/>
      <c r="D713" s="86"/>
      <c r="E713" s="108"/>
      <c r="F713" s="109"/>
      <c r="G713" s="109"/>
    </row>
    <row r="714" spans="1:7">
      <c r="A714" s="83"/>
      <c r="B714" s="106"/>
      <c r="C714" s="107"/>
      <c r="D714" s="86"/>
      <c r="E714" s="108"/>
      <c r="F714" s="109"/>
      <c r="G714" s="109"/>
    </row>
    <row r="715" spans="1:7">
      <c r="A715" s="83"/>
      <c r="B715" s="106"/>
      <c r="C715" s="107"/>
      <c r="D715" s="86"/>
      <c r="E715" s="108"/>
      <c r="F715" s="109"/>
      <c r="G715" s="109"/>
    </row>
    <row r="716" spans="1:7">
      <c r="A716" s="83"/>
      <c r="B716" s="106"/>
      <c r="C716" s="107"/>
      <c r="D716" s="86"/>
      <c r="E716" s="108"/>
      <c r="F716" s="109"/>
      <c r="G716" s="109"/>
    </row>
    <row r="717" spans="1:7">
      <c r="A717" s="83"/>
      <c r="B717" s="106"/>
      <c r="C717" s="107"/>
      <c r="D717" s="86"/>
      <c r="E717" s="108"/>
      <c r="F717" s="109"/>
      <c r="G717" s="109"/>
    </row>
    <row r="718" spans="1:7">
      <c r="A718" s="83"/>
      <c r="B718" s="106"/>
      <c r="C718" s="107"/>
      <c r="D718" s="86"/>
      <c r="E718" s="108"/>
      <c r="F718" s="109"/>
      <c r="G718" s="109"/>
    </row>
    <row r="719" spans="1:7">
      <c r="A719" s="83"/>
      <c r="B719" s="106"/>
      <c r="C719" s="107"/>
      <c r="D719" s="86"/>
      <c r="E719" s="108"/>
      <c r="F719" s="109"/>
      <c r="G719" s="109"/>
    </row>
    <row r="720" spans="1:7">
      <c r="A720" s="83"/>
      <c r="B720" s="106"/>
      <c r="C720" s="107"/>
      <c r="D720" s="86"/>
      <c r="E720" s="108"/>
      <c r="F720" s="109"/>
      <c r="G720" s="109"/>
    </row>
    <row r="721" spans="1:7">
      <c r="A721" s="83"/>
      <c r="B721" s="106"/>
      <c r="C721" s="107"/>
      <c r="D721" s="86"/>
      <c r="E721" s="108"/>
      <c r="F721" s="109"/>
      <c r="G721" s="109"/>
    </row>
    <row r="722" spans="1:7">
      <c r="A722" s="83"/>
      <c r="B722" s="106"/>
      <c r="C722" s="107"/>
      <c r="D722" s="86"/>
      <c r="E722" s="108"/>
      <c r="F722" s="109"/>
      <c r="G722" s="109"/>
    </row>
    <row r="723" spans="1:7">
      <c r="A723" s="83"/>
      <c r="B723" s="106"/>
      <c r="C723" s="107"/>
      <c r="D723" s="86"/>
      <c r="E723" s="108"/>
      <c r="F723" s="109"/>
      <c r="G723" s="109"/>
    </row>
    <row r="724" spans="1:7">
      <c r="A724" s="83"/>
      <c r="B724" s="106"/>
      <c r="C724" s="107"/>
      <c r="D724" s="86"/>
      <c r="E724" s="108"/>
      <c r="F724" s="109"/>
      <c r="G724" s="109"/>
    </row>
    <row r="725" spans="1:7">
      <c r="A725" s="83"/>
      <c r="B725" s="106"/>
      <c r="C725" s="107"/>
      <c r="D725" s="86"/>
      <c r="E725" s="108"/>
      <c r="F725" s="109"/>
      <c r="G725" s="109"/>
    </row>
    <row r="726" spans="1:7">
      <c r="A726" s="83"/>
      <c r="B726" s="106"/>
      <c r="C726" s="107"/>
      <c r="D726" s="86"/>
      <c r="E726" s="108"/>
      <c r="F726" s="109"/>
      <c r="G726" s="109"/>
    </row>
    <row r="727" spans="1:7">
      <c r="A727" s="83"/>
      <c r="B727" s="106"/>
      <c r="C727" s="107"/>
      <c r="D727" s="86"/>
      <c r="E727" s="108"/>
      <c r="F727" s="109"/>
      <c r="G727" s="109"/>
    </row>
    <row r="728" spans="1:7">
      <c r="A728" s="83"/>
      <c r="B728" s="106"/>
      <c r="C728" s="107"/>
      <c r="D728" s="86"/>
      <c r="E728" s="108"/>
      <c r="F728" s="109"/>
      <c r="G728" s="109"/>
    </row>
    <row r="729" spans="1:7">
      <c r="A729" s="83"/>
      <c r="B729" s="106"/>
      <c r="C729" s="107"/>
      <c r="D729" s="86"/>
      <c r="E729" s="108"/>
      <c r="F729" s="109"/>
      <c r="G729" s="109"/>
    </row>
    <row r="730" spans="1:7">
      <c r="A730" s="83"/>
      <c r="B730" s="106"/>
      <c r="C730" s="107"/>
      <c r="D730" s="86"/>
      <c r="E730" s="108"/>
      <c r="F730" s="109"/>
      <c r="G730" s="109"/>
    </row>
    <row r="731" spans="1:7">
      <c r="A731" s="83"/>
      <c r="B731" s="106"/>
      <c r="C731" s="107"/>
      <c r="D731" s="86"/>
      <c r="E731" s="108"/>
      <c r="F731" s="109"/>
      <c r="G731" s="109"/>
    </row>
    <row r="732" spans="1:7">
      <c r="A732" s="83"/>
      <c r="B732" s="106"/>
      <c r="C732" s="107"/>
      <c r="D732" s="86"/>
      <c r="E732" s="108"/>
      <c r="F732" s="109"/>
      <c r="G732" s="109"/>
    </row>
    <row r="733" spans="1:7">
      <c r="A733" s="83"/>
      <c r="B733" s="106"/>
      <c r="C733" s="107"/>
      <c r="D733" s="86"/>
      <c r="E733" s="108"/>
      <c r="F733" s="109"/>
      <c r="G733" s="109"/>
    </row>
    <row r="734" spans="1:7">
      <c r="A734" s="83"/>
      <c r="B734" s="106"/>
      <c r="C734" s="107"/>
      <c r="D734" s="86"/>
      <c r="E734" s="108"/>
      <c r="F734" s="109"/>
      <c r="G734" s="109"/>
    </row>
    <row r="735" spans="1:7">
      <c r="A735" s="83"/>
      <c r="B735" s="106"/>
      <c r="C735" s="107"/>
      <c r="D735" s="86"/>
      <c r="E735" s="108"/>
      <c r="F735" s="109"/>
      <c r="G735" s="109"/>
    </row>
    <row r="736" spans="1:7">
      <c r="A736" s="83"/>
      <c r="B736" s="106"/>
      <c r="C736" s="107"/>
      <c r="D736" s="86"/>
      <c r="E736" s="108"/>
      <c r="F736" s="109"/>
      <c r="G736" s="109"/>
    </row>
    <row r="737" spans="1:7">
      <c r="A737" s="83"/>
      <c r="B737" s="106"/>
      <c r="C737" s="107"/>
      <c r="D737" s="86"/>
      <c r="E737" s="108"/>
      <c r="F737" s="109"/>
      <c r="G737" s="109"/>
    </row>
    <row r="738" spans="1:7">
      <c r="A738" s="83"/>
      <c r="B738" s="106"/>
      <c r="C738" s="107"/>
      <c r="D738" s="86"/>
      <c r="E738" s="108"/>
      <c r="F738" s="109"/>
      <c r="G738" s="109"/>
    </row>
    <row r="739" spans="1:7">
      <c r="A739" s="83"/>
      <c r="B739" s="106"/>
      <c r="C739" s="107"/>
      <c r="D739" s="86"/>
      <c r="E739" s="108"/>
      <c r="F739" s="109"/>
      <c r="G739" s="109"/>
    </row>
    <row r="740" spans="1:7">
      <c r="A740" s="83"/>
      <c r="B740" s="106"/>
      <c r="C740" s="107"/>
      <c r="D740" s="86"/>
      <c r="E740" s="108"/>
      <c r="F740" s="109"/>
      <c r="G740" s="109"/>
    </row>
    <row r="741" spans="1:7">
      <c r="A741" s="83"/>
      <c r="B741" s="106"/>
      <c r="C741" s="107"/>
      <c r="D741" s="86"/>
      <c r="E741" s="108"/>
      <c r="F741" s="109"/>
      <c r="G741" s="109"/>
    </row>
    <row r="742" spans="1:7">
      <c r="A742" s="83"/>
      <c r="B742" s="106"/>
      <c r="C742" s="107"/>
      <c r="D742" s="86"/>
      <c r="E742" s="108"/>
      <c r="F742" s="109"/>
      <c r="G742" s="109"/>
    </row>
    <row r="743" spans="1:7">
      <c r="A743" s="83"/>
      <c r="B743" s="106"/>
      <c r="C743" s="107"/>
      <c r="D743" s="86"/>
      <c r="E743" s="108"/>
      <c r="F743" s="109"/>
      <c r="G743" s="109"/>
    </row>
    <row r="744" spans="1:7">
      <c r="A744" s="83"/>
      <c r="B744" s="106"/>
      <c r="C744" s="107"/>
      <c r="D744" s="86"/>
      <c r="E744" s="108"/>
      <c r="F744" s="109"/>
      <c r="G744" s="109"/>
    </row>
    <row r="745" spans="1:7">
      <c r="A745" s="83"/>
      <c r="B745" s="106"/>
      <c r="C745" s="107"/>
      <c r="D745" s="86"/>
      <c r="E745" s="108"/>
      <c r="F745" s="109"/>
      <c r="G745" s="109"/>
    </row>
    <row r="746" spans="1:7">
      <c r="A746" s="83"/>
      <c r="B746" s="106"/>
      <c r="C746" s="107"/>
      <c r="D746" s="86"/>
      <c r="E746" s="108"/>
      <c r="F746" s="109"/>
      <c r="G746" s="109"/>
    </row>
    <row r="747" spans="1:7">
      <c r="A747" s="83"/>
      <c r="B747" s="106"/>
      <c r="C747" s="107"/>
      <c r="D747" s="86"/>
      <c r="E747" s="108"/>
      <c r="F747" s="109"/>
      <c r="G747" s="109"/>
    </row>
    <row r="748" spans="1:7">
      <c r="A748" s="83"/>
      <c r="B748" s="106"/>
      <c r="C748" s="107"/>
      <c r="D748" s="86"/>
      <c r="E748" s="108"/>
      <c r="F748" s="109"/>
      <c r="G748" s="109"/>
    </row>
    <row r="749" spans="1:7">
      <c r="A749" s="83"/>
      <c r="B749" s="106"/>
      <c r="C749" s="107"/>
      <c r="D749" s="86"/>
      <c r="E749" s="108"/>
      <c r="F749" s="109"/>
      <c r="G749" s="109"/>
    </row>
    <row r="750" spans="1:7">
      <c r="A750" s="83"/>
      <c r="B750" s="106"/>
      <c r="C750" s="107"/>
      <c r="D750" s="86"/>
      <c r="E750" s="108"/>
      <c r="F750" s="109"/>
      <c r="G750" s="109"/>
    </row>
    <row r="751" spans="1:7">
      <c r="A751" s="83"/>
      <c r="B751" s="106"/>
      <c r="C751" s="107"/>
      <c r="D751" s="86"/>
      <c r="E751" s="108"/>
      <c r="F751" s="109"/>
      <c r="G751" s="109"/>
    </row>
    <row r="752" spans="1:7">
      <c r="A752" s="83"/>
      <c r="B752" s="106"/>
      <c r="C752" s="107"/>
      <c r="D752" s="86"/>
      <c r="E752" s="108"/>
      <c r="F752" s="109"/>
      <c r="G752" s="109"/>
    </row>
    <row r="753" spans="1:7">
      <c r="A753" s="83"/>
      <c r="B753" s="106"/>
      <c r="C753" s="107"/>
      <c r="D753" s="86"/>
      <c r="E753" s="108"/>
      <c r="F753" s="109"/>
      <c r="G753" s="109"/>
    </row>
    <row r="754" spans="1:7">
      <c r="A754" s="83"/>
      <c r="B754" s="106"/>
      <c r="C754" s="107"/>
      <c r="D754" s="86"/>
      <c r="E754" s="108"/>
      <c r="F754" s="109"/>
      <c r="G754" s="109"/>
    </row>
    <row r="755" spans="1:7">
      <c r="A755" s="83"/>
      <c r="B755" s="106"/>
      <c r="C755" s="107"/>
      <c r="D755" s="86"/>
      <c r="E755" s="108"/>
      <c r="F755" s="109"/>
      <c r="G755" s="109"/>
    </row>
    <row r="756" spans="1:7">
      <c r="A756" s="83"/>
      <c r="B756" s="106"/>
      <c r="C756" s="107"/>
      <c r="D756" s="86"/>
      <c r="E756" s="108"/>
      <c r="F756" s="109"/>
      <c r="G756" s="109"/>
    </row>
    <row r="757" spans="1:7">
      <c r="A757" s="83"/>
      <c r="B757" s="106"/>
      <c r="C757" s="107"/>
      <c r="D757" s="86"/>
      <c r="E757" s="108"/>
      <c r="F757" s="109"/>
      <c r="G757" s="109"/>
    </row>
    <row r="758" spans="1:7">
      <c r="A758" s="83"/>
      <c r="B758" s="106"/>
      <c r="C758" s="107"/>
      <c r="D758" s="86"/>
      <c r="E758" s="108"/>
      <c r="F758" s="109"/>
      <c r="G758" s="109"/>
    </row>
    <row r="759" spans="1:7">
      <c r="A759" s="83"/>
      <c r="B759" s="106"/>
      <c r="C759" s="107"/>
      <c r="D759" s="86"/>
      <c r="E759" s="108"/>
      <c r="F759" s="109"/>
      <c r="G759" s="109"/>
    </row>
    <row r="760" spans="1:7">
      <c r="A760" s="83"/>
      <c r="B760" s="106"/>
      <c r="C760" s="107"/>
      <c r="D760" s="86"/>
      <c r="E760" s="108"/>
      <c r="F760" s="109"/>
      <c r="G760" s="109"/>
    </row>
    <row r="761" spans="1:7">
      <c r="A761" s="83"/>
      <c r="B761" s="106"/>
      <c r="C761" s="107"/>
      <c r="D761" s="86"/>
      <c r="E761" s="108"/>
      <c r="F761" s="109"/>
      <c r="G761" s="109"/>
    </row>
    <row r="762" spans="1:7">
      <c r="A762" s="83"/>
      <c r="B762" s="106"/>
      <c r="C762" s="107"/>
      <c r="D762" s="86"/>
      <c r="E762" s="108"/>
      <c r="F762" s="109"/>
      <c r="G762" s="109"/>
    </row>
    <row r="763" spans="1:7">
      <c r="A763" s="83"/>
      <c r="B763" s="106"/>
      <c r="C763" s="107"/>
      <c r="D763" s="86"/>
      <c r="E763" s="108"/>
      <c r="F763" s="109"/>
      <c r="G763" s="109"/>
    </row>
    <row r="764" spans="1:7">
      <c r="A764" s="83"/>
      <c r="B764" s="106"/>
      <c r="C764" s="107"/>
      <c r="D764" s="86"/>
      <c r="E764" s="108"/>
      <c r="F764" s="109"/>
      <c r="G764" s="109"/>
    </row>
    <row r="765" spans="1:7">
      <c r="A765" s="83"/>
      <c r="B765" s="106"/>
      <c r="C765" s="107"/>
      <c r="D765" s="86"/>
      <c r="E765" s="108"/>
      <c r="F765" s="109"/>
      <c r="G765" s="109"/>
    </row>
    <row r="766" spans="1:7">
      <c r="A766" s="83"/>
      <c r="B766" s="106"/>
      <c r="C766" s="107"/>
      <c r="D766" s="86"/>
      <c r="E766" s="108"/>
      <c r="F766" s="109"/>
      <c r="G766" s="109"/>
    </row>
    <row r="767" spans="1:7">
      <c r="A767" s="83"/>
      <c r="B767" s="106"/>
      <c r="C767" s="107"/>
      <c r="D767" s="86"/>
      <c r="E767" s="108"/>
      <c r="F767" s="109"/>
      <c r="G767" s="109"/>
    </row>
    <row r="768" spans="1:7">
      <c r="A768" s="83"/>
      <c r="B768" s="106"/>
      <c r="C768" s="107"/>
      <c r="D768" s="86"/>
      <c r="E768" s="108"/>
      <c r="F768" s="109"/>
      <c r="G768" s="109"/>
    </row>
    <row r="769" spans="1:7">
      <c r="A769" s="83"/>
      <c r="B769" s="106"/>
      <c r="C769" s="107"/>
      <c r="D769" s="86"/>
      <c r="E769" s="108"/>
      <c r="F769" s="109"/>
      <c r="G769" s="109"/>
    </row>
    <row r="770" spans="1:7">
      <c r="A770" s="83"/>
      <c r="B770" s="106"/>
      <c r="C770" s="107"/>
      <c r="D770" s="86"/>
      <c r="E770" s="108"/>
      <c r="F770" s="109"/>
      <c r="G770" s="109"/>
    </row>
    <row r="771" spans="1:7">
      <c r="A771" s="83"/>
      <c r="B771" s="106"/>
      <c r="C771" s="107"/>
      <c r="D771" s="86"/>
      <c r="E771" s="108"/>
      <c r="F771" s="109"/>
      <c r="G771" s="109"/>
    </row>
    <row r="772" spans="1:7">
      <c r="A772" s="83"/>
      <c r="B772" s="106"/>
      <c r="C772" s="107"/>
      <c r="D772" s="86"/>
      <c r="E772" s="108"/>
      <c r="F772" s="109"/>
      <c r="G772" s="109"/>
    </row>
    <row r="773" spans="1:7">
      <c r="A773" s="83"/>
      <c r="B773" s="106"/>
      <c r="C773" s="107"/>
      <c r="D773" s="86"/>
      <c r="E773" s="108"/>
      <c r="F773" s="109"/>
      <c r="G773" s="109"/>
    </row>
    <row r="774" spans="1:7">
      <c r="A774" s="83"/>
      <c r="B774" s="106"/>
      <c r="C774" s="107"/>
      <c r="D774" s="86"/>
      <c r="E774" s="108"/>
      <c r="F774" s="109"/>
      <c r="G774" s="109"/>
    </row>
    <row r="775" spans="1:7">
      <c r="A775" s="83"/>
      <c r="B775" s="106"/>
      <c r="C775" s="107"/>
      <c r="D775" s="86"/>
      <c r="E775" s="108"/>
      <c r="F775" s="109"/>
      <c r="G775" s="109"/>
    </row>
    <row r="776" spans="1:7">
      <c r="A776" s="83"/>
      <c r="B776" s="106"/>
      <c r="C776" s="107"/>
      <c r="D776" s="86"/>
      <c r="E776" s="108"/>
      <c r="F776" s="109"/>
      <c r="G776" s="109"/>
    </row>
    <row r="777" spans="1:7">
      <c r="A777" s="83"/>
      <c r="B777" s="106"/>
      <c r="C777" s="107"/>
      <c r="D777" s="86"/>
      <c r="E777" s="108"/>
      <c r="F777" s="109"/>
      <c r="G777" s="109"/>
    </row>
    <row r="778" spans="1:7">
      <c r="A778" s="83"/>
      <c r="B778" s="106"/>
      <c r="C778" s="107"/>
      <c r="D778" s="86"/>
      <c r="E778" s="108"/>
      <c r="F778" s="109"/>
      <c r="G778" s="109"/>
    </row>
    <row r="779" spans="1:7">
      <c r="A779" s="83"/>
      <c r="B779" s="106"/>
      <c r="C779" s="107"/>
      <c r="D779" s="86"/>
      <c r="E779" s="108"/>
      <c r="F779" s="109"/>
      <c r="G779" s="109"/>
    </row>
    <row r="780" spans="1:7">
      <c r="A780" s="83"/>
      <c r="B780" s="106"/>
      <c r="C780" s="107"/>
      <c r="D780" s="86"/>
      <c r="E780" s="108"/>
      <c r="F780" s="109"/>
      <c r="G780" s="109"/>
    </row>
    <row r="781" spans="1:7">
      <c r="A781" s="83"/>
      <c r="B781" s="106"/>
      <c r="C781" s="107"/>
      <c r="D781" s="86"/>
      <c r="E781" s="108"/>
      <c r="F781" s="109"/>
      <c r="G781" s="109"/>
    </row>
    <row r="782" spans="1:7">
      <c r="A782" s="83"/>
      <c r="B782" s="106"/>
      <c r="C782" s="107"/>
      <c r="D782" s="86"/>
      <c r="E782" s="108"/>
      <c r="F782" s="109"/>
      <c r="G782" s="109"/>
    </row>
    <row r="783" spans="1:7">
      <c r="A783" s="83"/>
      <c r="B783" s="106"/>
      <c r="C783" s="107"/>
      <c r="D783" s="86"/>
      <c r="E783" s="108"/>
      <c r="F783" s="109"/>
      <c r="G783" s="109"/>
    </row>
    <row r="784" spans="1:7">
      <c r="A784" s="83"/>
      <c r="B784" s="106"/>
      <c r="C784" s="107"/>
      <c r="D784" s="86"/>
      <c r="E784" s="108"/>
      <c r="F784" s="109"/>
      <c r="G784" s="109"/>
    </row>
    <row r="785" spans="1:7">
      <c r="A785" s="83"/>
      <c r="B785" s="106"/>
      <c r="C785" s="107"/>
      <c r="D785" s="86"/>
      <c r="E785" s="108"/>
      <c r="F785" s="109"/>
      <c r="G785" s="109"/>
    </row>
    <row r="786" spans="1:7">
      <c r="A786" s="83"/>
      <c r="B786" s="106"/>
      <c r="C786" s="107"/>
      <c r="D786" s="86"/>
      <c r="E786" s="108"/>
      <c r="F786" s="109"/>
      <c r="G786" s="109"/>
    </row>
    <row r="787" spans="1:7">
      <c r="A787" s="83"/>
      <c r="B787" s="106"/>
      <c r="C787" s="107"/>
      <c r="D787" s="86"/>
      <c r="E787" s="108"/>
      <c r="F787" s="109"/>
      <c r="G787" s="109"/>
    </row>
    <row r="788" spans="1:7">
      <c r="A788" s="83"/>
      <c r="B788" s="106"/>
      <c r="C788" s="107"/>
      <c r="D788" s="86"/>
      <c r="E788" s="108"/>
      <c r="F788" s="109"/>
      <c r="G788" s="109"/>
    </row>
    <row r="789" spans="1:7">
      <c r="A789" s="83"/>
      <c r="B789" s="106"/>
      <c r="C789" s="107"/>
      <c r="D789" s="86"/>
      <c r="E789" s="108"/>
      <c r="F789" s="109"/>
      <c r="G789" s="109"/>
    </row>
    <row r="790" spans="1:7">
      <c r="A790" s="83"/>
      <c r="B790" s="106"/>
      <c r="C790" s="107"/>
      <c r="D790" s="86"/>
      <c r="E790" s="108"/>
      <c r="F790" s="109"/>
      <c r="G790" s="109"/>
    </row>
    <row r="791" spans="1:7">
      <c r="A791" s="83"/>
      <c r="B791" s="106"/>
      <c r="C791" s="107"/>
      <c r="D791" s="86"/>
      <c r="E791" s="108"/>
      <c r="F791" s="109"/>
      <c r="G791" s="109"/>
    </row>
    <row r="792" spans="1:7">
      <c r="A792" s="83"/>
      <c r="B792" s="106"/>
      <c r="C792" s="107"/>
      <c r="D792" s="86"/>
      <c r="E792" s="108"/>
      <c r="F792" s="109"/>
      <c r="G792" s="109"/>
    </row>
    <row r="793" spans="1:7">
      <c r="A793" s="83"/>
      <c r="B793" s="106"/>
      <c r="C793" s="107"/>
      <c r="D793" s="86"/>
      <c r="E793" s="108"/>
      <c r="F793" s="109"/>
      <c r="G793" s="109"/>
    </row>
    <row r="794" spans="1:7">
      <c r="A794" s="83"/>
      <c r="B794" s="106"/>
      <c r="C794" s="107"/>
      <c r="D794" s="86"/>
      <c r="E794" s="108"/>
      <c r="F794" s="109"/>
      <c r="G794" s="109"/>
    </row>
    <row r="795" spans="1:7">
      <c r="A795" s="83"/>
      <c r="B795" s="106"/>
      <c r="C795" s="107"/>
      <c r="D795" s="86"/>
      <c r="E795" s="108"/>
      <c r="F795" s="109"/>
      <c r="G795" s="109"/>
    </row>
    <row r="796" spans="1:7">
      <c r="A796" s="83"/>
      <c r="B796" s="106"/>
      <c r="C796" s="107"/>
      <c r="D796" s="86"/>
      <c r="E796" s="108"/>
      <c r="F796" s="109"/>
      <c r="G796" s="109"/>
    </row>
    <row r="797" spans="1:7">
      <c r="A797" s="83"/>
      <c r="B797" s="106"/>
      <c r="C797" s="107"/>
      <c r="D797" s="86"/>
      <c r="E797" s="108"/>
      <c r="F797" s="109"/>
      <c r="G797" s="109"/>
    </row>
    <row r="798" spans="1:7">
      <c r="A798" s="83"/>
      <c r="B798" s="106"/>
      <c r="C798" s="107"/>
      <c r="D798" s="86"/>
      <c r="E798" s="108"/>
      <c r="F798" s="109"/>
      <c r="G798" s="109"/>
    </row>
    <row r="799" spans="1:7">
      <c r="A799" s="83"/>
      <c r="B799" s="106"/>
      <c r="C799" s="107"/>
      <c r="D799" s="86"/>
      <c r="E799" s="108"/>
      <c r="F799" s="109"/>
      <c r="G799" s="109"/>
    </row>
    <row r="800" spans="1:7">
      <c r="A800" s="83"/>
      <c r="B800" s="106"/>
      <c r="C800" s="107"/>
      <c r="D800" s="86"/>
      <c r="E800" s="108"/>
      <c r="F800" s="109"/>
      <c r="G800" s="109"/>
    </row>
    <row r="801" spans="1:7">
      <c r="A801" s="83"/>
      <c r="B801" s="106"/>
      <c r="C801" s="107"/>
      <c r="D801" s="86"/>
      <c r="E801" s="108"/>
      <c r="F801" s="109"/>
      <c r="G801" s="109"/>
    </row>
    <row r="802" spans="1:7">
      <c r="A802" s="83"/>
      <c r="B802" s="106"/>
      <c r="C802" s="107"/>
      <c r="D802" s="86"/>
      <c r="E802" s="108"/>
      <c r="F802" s="109"/>
      <c r="G802" s="109"/>
    </row>
    <row r="803" spans="1:7">
      <c r="A803" s="83"/>
      <c r="B803" s="106"/>
      <c r="C803" s="107"/>
      <c r="D803" s="86"/>
      <c r="E803" s="108"/>
      <c r="F803" s="109"/>
      <c r="G803" s="109"/>
    </row>
    <row r="804" spans="1:7">
      <c r="A804" s="83"/>
      <c r="B804" s="106"/>
      <c r="C804" s="107"/>
      <c r="D804" s="86"/>
      <c r="E804" s="108"/>
      <c r="F804" s="109"/>
      <c r="G804" s="109"/>
    </row>
    <row r="805" spans="1:7">
      <c r="A805" s="83"/>
      <c r="B805" s="106"/>
      <c r="C805" s="107"/>
      <c r="D805" s="86"/>
      <c r="E805" s="108"/>
      <c r="F805" s="109"/>
      <c r="G805" s="109"/>
    </row>
    <row r="806" spans="1:7">
      <c r="A806" s="83"/>
      <c r="B806" s="106"/>
      <c r="C806" s="107"/>
      <c r="D806" s="86"/>
      <c r="E806" s="108"/>
      <c r="F806" s="109"/>
      <c r="G806" s="109"/>
    </row>
    <row r="807" spans="1:7">
      <c r="A807" s="83"/>
      <c r="B807" s="106"/>
      <c r="C807" s="107"/>
      <c r="D807" s="86"/>
      <c r="E807" s="108"/>
      <c r="F807" s="109"/>
      <c r="G807" s="109"/>
    </row>
    <row r="808" spans="1:7">
      <c r="A808" s="83"/>
      <c r="B808" s="106"/>
      <c r="C808" s="107"/>
      <c r="D808" s="86"/>
      <c r="E808" s="108"/>
      <c r="F808" s="109"/>
      <c r="G808" s="109"/>
    </row>
    <row r="809" spans="1:7">
      <c r="A809" s="83"/>
      <c r="B809" s="106"/>
      <c r="C809" s="107"/>
      <c r="D809" s="86"/>
      <c r="E809" s="108"/>
      <c r="F809" s="109"/>
      <c r="G809" s="109"/>
    </row>
    <row r="810" spans="1:7">
      <c r="A810" s="83"/>
      <c r="B810" s="106"/>
      <c r="C810" s="107"/>
      <c r="D810" s="86"/>
      <c r="E810" s="108"/>
      <c r="F810" s="109"/>
      <c r="G810" s="109"/>
    </row>
    <row r="811" spans="1:7">
      <c r="A811" s="83"/>
      <c r="B811" s="106"/>
      <c r="C811" s="107"/>
      <c r="D811" s="86"/>
      <c r="E811" s="108"/>
      <c r="F811" s="109"/>
      <c r="G811" s="109"/>
    </row>
    <row r="812" spans="1:7">
      <c r="A812" s="83"/>
      <c r="B812" s="106"/>
      <c r="C812" s="107"/>
      <c r="D812" s="86"/>
      <c r="E812" s="108"/>
      <c r="F812" s="109"/>
      <c r="G812" s="109"/>
    </row>
    <row r="813" spans="1:7">
      <c r="A813" s="83"/>
      <c r="B813" s="106"/>
      <c r="C813" s="107"/>
      <c r="D813" s="86"/>
      <c r="E813" s="108"/>
      <c r="F813" s="109"/>
      <c r="G813" s="109"/>
    </row>
    <row r="814" spans="1:7">
      <c r="A814" s="83"/>
      <c r="B814" s="106"/>
      <c r="C814" s="107"/>
      <c r="D814" s="86"/>
      <c r="E814" s="108"/>
      <c r="F814" s="109"/>
      <c r="G814" s="109"/>
    </row>
    <row r="815" spans="1:7">
      <c r="A815" s="83"/>
      <c r="B815" s="106"/>
      <c r="C815" s="107"/>
      <c r="D815" s="86"/>
      <c r="E815" s="108"/>
      <c r="F815" s="109"/>
      <c r="G815" s="109"/>
    </row>
    <row r="816" spans="1:7">
      <c r="A816" s="83"/>
      <c r="B816" s="106"/>
      <c r="C816" s="107"/>
      <c r="D816" s="86"/>
      <c r="E816" s="108"/>
      <c r="F816" s="109"/>
      <c r="G816" s="109"/>
    </row>
    <row r="817" spans="1:7">
      <c r="A817" s="83"/>
      <c r="B817" s="106"/>
      <c r="C817" s="107"/>
      <c r="D817" s="86"/>
      <c r="E817" s="108"/>
      <c r="F817" s="109"/>
      <c r="G817" s="109"/>
    </row>
    <row r="818" spans="1:7">
      <c r="A818" s="83"/>
      <c r="B818" s="106"/>
      <c r="C818" s="107"/>
      <c r="D818" s="86"/>
      <c r="E818" s="108"/>
      <c r="F818" s="109"/>
      <c r="G818" s="109"/>
    </row>
    <row r="819" spans="1:7">
      <c r="A819" s="83"/>
      <c r="B819" s="106"/>
      <c r="C819" s="107"/>
      <c r="D819" s="86"/>
      <c r="E819" s="108"/>
      <c r="F819" s="109"/>
      <c r="G819" s="109"/>
    </row>
    <row r="820" spans="1:7">
      <c r="A820" s="83"/>
      <c r="B820" s="106"/>
      <c r="C820" s="107"/>
      <c r="D820" s="86"/>
      <c r="E820" s="108"/>
      <c r="F820" s="109"/>
      <c r="G820" s="109"/>
    </row>
    <row r="821" spans="1:7">
      <c r="A821" s="83"/>
      <c r="B821" s="106"/>
      <c r="C821" s="107"/>
      <c r="D821" s="86"/>
      <c r="E821" s="108"/>
      <c r="F821" s="109"/>
      <c r="G821" s="109"/>
    </row>
    <row r="822" spans="1:7">
      <c r="A822" s="83"/>
      <c r="B822" s="106"/>
      <c r="C822" s="107"/>
      <c r="D822" s="86"/>
      <c r="E822" s="108"/>
      <c r="F822" s="109"/>
      <c r="G822" s="109"/>
    </row>
    <row r="823" spans="1:7">
      <c r="A823" s="83"/>
      <c r="B823" s="106"/>
      <c r="C823" s="107"/>
      <c r="D823" s="86"/>
      <c r="E823" s="108"/>
      <c r="F823" s="109"/>
      <c r="G823" s="109"/>
    </row>
    <row r="824" spans="1:7">
      <c r="A824" s="83"/>
      <c r="B824" s="106"/>
      <c r="C824" s="107"/>
      <c r="D824" s="86"/>
      <c r="E824" s="108"/>
      <c r="F824" s="109"/>
      <c r="G824" s="109"/>
    </row>
    <row r="825" spans="1:7">
      <c r="A825" s="83"/>
      <c r="B825" s="106"/>
      <c r="C825" s="107"/>
      <c r="D825" s="86"/>
      <c r="E825" s="108"/>
      <c r="F825" s="109"/>
      <c r="G825" s="109"/>
    </row>
    <row r="826" spans="1:7">
      <c r="A826" s="83"/>
      <c r="B826" s="106"/>
      <c r="C826" s="107"/>
      <c r="D826" s="86"/>
      <c r="E826" s="108"/>
      <c r="F826" s="109"/>
      <c r="G826" s="109"/>
    </row>
    <row r="827" spans="1:7">
      <c r="A827" s="83"/>
      <c r="B827" s="106"/>
      <c r="C827" s="107"/>
      <c r="D827" s="86"/>
      <c r="E827" s="108"/>
      <c r="F827" s="109"/>
      <c r="G827" s="109"/>
    </row>
    <row r="828" spans="1:7">
      <c r="A828" s="83"/>
      <c r="B828" s="106"/>
      <c r="C828" s="107"/>
      <c r="D828" s="86"/>
      <c r="E828" s="108"/>
      <c r="F828" s="109"/>
      <c r="G828" s="109"/>
    </row>
    <row r="829" spans="1:7">
      <c r="A829" s="83"/>
      <c r="B829" s="106"/>
      <c r="C829" s="107"/>
      <c r="D829" s="86"/>
      <c r="E829" s="108"/>
      <c r="F829" s="109"/>
      <c r="G829" s="109"/>
    </row>
    <row r="830" spans="1:7">
      <c r="A830" s="83"/>
      <c r="B830" s="106"/>
      <c r="C830" s="107"/>
      <c r="D830" s="86"/>
      <c r="E830" s="108"/>
      <c r="F830" s="109"/>
      <c r="G830" s="109"/>
    </row>
    <row r="831" spans="1:7">
      <c r="A831" s="83"/>
      <c r="B831" s="106"/>
      <c r="C831" s="107"/>
      <c r="D831" s="86"/>
      <c r="E831" s="108"/>
      <c r="F831" s="109"/>
      <c r="G831" s="109"/>
    </row>
    <row r="832" spans="1:7">
      <c r="A832" s="83"/>
      <c r="B832" s="106"/>
      <c r="C832" s="107"/>
      <c r="D832" s="86"/>
      <c r="E832" s="108"/>
      <c r="F832" s="109"/>
      <c r="G832" s="109"/>
    </row>
    <row r="833" spans="1:7">
      <c r="A833" s="83"/>
      <c r="B833" s="106"/>
      <c r="C833" s="107"/>
      <c r="D833" s="86"/>
      <c r="E833" s="108"/>
      <c r="F833" s="109"/>
      <c r="G833" s="109"/>
    </row>
    <row r="834" spans="1:7">
      <c r="A834" s="83"/>
      <c r="B834" s="106"/>
      <c r="C834" s="107"/>
      <c r="D834" s="86"/>
      <c r="E834" s="108"/>
      <c r="F834" s="109"/>
      <c r="G834" s="109"/>
    </row>
    <row r="835" spans="1:7">
      <c r="A835" s="83"/>
      <c r="B835" s="106"/>
      <c r="C835" s="107"/>
      <c r="D835" s="86"/>
      <c r="E835" s="108"/>
      <c r="F835" s="109"/>
      <c r="G835" s="109"/>
    </row>
    <row r="836" spans="1:7">
      <c r="A836" s="83"/>
      <c r="B836" s="106"/>
      <c r="C836" s="107"/>
      <c r="D836" s="86"/>
      <c r="E836" s="108"/>
      <c r="F836" s="109"/>
      <c r="G836" s="109"/>
    </row>
    <row r="837" spans="1:7">
      <c r="A837" s="83"/>
      <c r="B837" s="106"/>
      <c r="C837" s="107"/>
      <c r="D837" s="86"/>
      <c r="E837" s="108"/>
      <c r="F837" s="109"/>
      <c r="G837" s="109"/>
    </row>
    <row r="838" spans="1:7">
      <c r="A838" s="83"/>
      <c r="B838" s="106"/>
      <c r="C838" s="107"/>
      <c r="D838" s="86"/>
      <c r="E838" s="108"/>
      <c r="F838" s="109"/>
      <c r="G838" s="109"/>
    </row>
    <row r="839" spans="1:7">
      <c r="A839" s="83"/>
      <c r="B839" s="106"/>
      <c r="C839" s="107"/>
      <c r="D839" s="86"/>
      <c r="E839" s="108"/>
      <c r="F839" s="109"/>
      <c r="G839" s="109"/>
    </row>
    <row r="840" spans="1:7">
      <c r="A840" s="83"/>
      <c r="B840" s="106"/>
      <c r="C840" s="107"/>
      <c r="D840" s="86"/>
      <c r="E840" s="108"/>
      <c r="F840" s="109"/>
      <c r="G840" s="109"/>
    </row>
    <row r="841" spans="1:7">
      <c r="A841" s="83"/>
      <c r="B841" s="106"/>
      <c r="C841" s="107"/>
      <c r="D841" s="86"/>
      <c r="E841" s="108"/>
      <c r="F841" s="109"/>
      <c r="G841" s="109"/>
    </row>
    <row r="842" spans="1:7">
      <c r="A842" s="83"/>
      <c r="B842" s="106"/>
      <c r="C842" s="107"/>
      <c r="D842" s="86"/>
      <c r="E842" s="108"/>
      <c r="F842" s="109"/>
      <c r="G842" s="109"/>
    </row>
    <row r="843" spans="1:7">
      <c r="A843" s="83"/>
      <c r="B843" s="106"/>
      <c r="C843" s="107"/>
      <c r="D843" s="86"/>
      <c r="E843" s="108"/>
      <c r="F843" s="109"/>
      <c r="G843" s="109"/>
    </row>
    <row r="844" spans="1:7">
      <c r="A844" s="83"/>
      <c r="B844" s="106"/>
      <c r="C844" s="107"/>
      <c r="D844" s="86"/>
      <c r="E844" s="108"/>
      <c r="F844" s="109"/>
      <c r="G844" s="109"/>
    </row>
    <row r="845" spans="1:7">
      <c r="A845" s="83"/>
      <c r="B845" s="106"/>
      <c r="C845" s="107"/>
      <c r="D845" s="86"/>
      <c r="E845" s="108"/>
      <c r="F845" s="109"/>
      <c r="G845" s="109"/>
    </row>
    <row r="846" spans="1:7">
      <c r="A846" s="83"/>
      <c r="B846" s="106"/>
      <c r="C846" s="107"/>
      <c r="D846" s="86"/>
      <c r="E846" s="108"/>
      <c r="F846" s="109"/>
      <c r="G846" s="109"/>
    </row>
    <row r="847" spans="1:7">
      <c r="A847" s="83"/>
      <c r="B847" s="106"/>
      <c r="C847" s="107"/>
      <c r="D847" s="86"/>
      <c r="E847" s="108"/>
      <c r="F847" s="109"/>
      <c r="G847" s="109"/>
    </row>
    <row r="848" spans="1:7">
      <c r="A848" s="83"/>
      <c r="B848" s="106"/>
      <c r="C848" s="107"/>
      <c r="D848" s="86"/>
      <c r="E848" s="108"/>
      <c r="F848" s="109"/>
      <c r="G848" s="109"/>
    </row>
    <row r="849" spans="1:7">
      <c r="A849" s="83"/>
      <c r="B849" s="106"/>
      <c r="C849" s="107"/>
      <c r="D849" s="86"/>
      <c r="E849" s="108"/>
      <c r="F849" s="109"/>
      <c r="G849" s="109"/>
    </row>
    <row r="850" spans="1:7">
      <c r="A850" s="83"/>
      <c r="B850" s="106"/>
      <c r="C850" s="107"/>
      <c r="D850" s="86"/>
      <c r="E850" s="108"/>
      <c r="F850" s="109"/>
      <c r="G850" s="109"/>
    </row>
    <row r="851" spans="1:7">
      <c r="A851" s="83"/>
      <c r="B851" s="106"/>
      <c r="C851" s="107"/>
      <c r="D851" s="86"/>
      <c r="E851" s="108"/>
      <c r="F851" s="109"/>
      <c r="G851" s="109"/>
    </row>
    <row r="852" spans="1:7">
      <c r="A852" s="83"/>
      <c r="B852" s="106"/>
      <c r="C852" s="107"/>
      <c r="D852" s="86"/>
      <c r="E852" s="108"/>
      <c r="F852" s="109"/>
      <c r="G852" s="109"/>
    </row>
    <row r="853" spans="1:7">
      <c r="A853" s="83"/>
      <c r="B853" s="106"/>
      <c r="C853" s="107"/>
      <c r="D853" s="86"/>
      <c r="E853" s="108"/>
      <c r="F853" s="109"/>
      <c r="G853" s="109"/>
    </row>
    <row r="854" spans="1:7">
      <c r="A854" s="83"/>
      <c r="B854" s="106"/>
      <c r="C854" s="107"/>
      <c r="D854" s="86"/>
      <c r="E854" s="108"/>
      <c r="F854" s="109"/>
      <c r="G854" s="109"/>
    </row>
    <row r="855" spans="1:7">
      <c r="A855" s="83"/>
      <c r="B855" s="106"/>
      <c r="C855" s="107"/>
      <c r="D855" s="86"/>
      <c r="E855" s="108"/>
      <c r="F855" s="109"/>
      <c r="G855" s="109"/>
    </row>
    <row r="856" spans="1:7">
      <c r="A856" s="83"/>
      <c r="B856" s="106"/>
      <c r="C856" s="107"/>
      <c r="D856" s="86"/>
      <c r="E856" s="108"/>
      <c r="F856" s="109"/>
      <c r="G856" s="109"/>
    </row>
    <row r="857" spans="1:7">
      <c r="A857" s="83"/>
      <c r="B857" s="106"/>
      <c r="C857" s="107"/>
      <c r="D857" s="86"/>
      <c r="E857" s="108"/>
      <c r="F857" s="109"/>
      <c r="G857" s="109"/>
    </row>
    <row r="858" spans="1:7">
      <c r="A858" s="83"/>
      <c r="B858" s="106"/>
      <c r="C858" s="107"/>
      <c r="D858" s="86"/>
      <c r="E858" s="108"/>
      <c r="F858" s="109"/>
      <c r="G858" s="109"/>
    </row>
    <row r="859" spans="1:7">
      <c r="A859" s="83"/>
      <c r="B859" s="106"/>
      <c r="C859" s="107"/>
      <c r="D859" s="86"/>
      <c r="E859" s="108"/>
      <c r="F859" s="109"/>
      <c r="G859" s="109"/>
    </row>
    <row r="860" spans="1:7">
      <c r="A860" s="83"/>
      <c r="B860" s="106"/>
      <c r="C860" s="107"/>
      <c r="D860" s="86"/>
      <c r="E860" s="108"/>
      <c r="F860" s="109"/>
      <c r="G860" s="109"/>
    </row>
    <row r="861" spans="1:7">
      <c r="A861" s="83"/>
      <c r="B861" s="106"/>
      <c r="C861" s="107"/>
      <c r="D861" s="86"/>
      <c r="E861" s="108"/>
      <c r="F861" s="109"/>
      <c r="G861" s="109"/>
    </row>
    <row r="862" spans="1:7">
      <c r="A862" s="83"/>
      <c r="B862" s="106"/>
      <c r="C862" s="107"/>
      <c r="D862" s="86"/>
      <c r="E862" s="108"/>
      <c r="F862" s="109"/>
      <c r="G862" s="109"/>
    </row>
    <row r="863" spans="1:7">
      <c r="A863" s="83"/>
      <c r="B863" s="106"/>
      <c r="C863" s="107"/>
      <c r="D863" s="86"/>
      <c r="E863" s="108"/>
      <c r="F863" s="109"/>
      <c r="G863" s="109"/>
    </row>
    <row r="864" spans="1:7">
      <c r="A864" s="83"/>
      <c r="B864" s="106"/>
      <c r="C864" s="107"/>
      <c r="D864" s="86"/>
      <c r="E864" s="108"/>
      <c r="F864" s="109"/>
      <c r="G864" s="109"/>
    </row>
    <row r="865" spans="1:7">
      <c r="A865" s="83"/>
      <c r="B865" s="106"/>
      <c r="C865" s="107"/>
      <c r="D865" s="86"/>
      <c r="E865" s="108"/>
      <c r="F865" s="109"/>
      <c r="G865" s="109"/>
    </row>
    <row r="866" spans="1:7">
      <c r="A866" s="83"/>
      <c r="B866" s="106"/>
      <c r="C866" s="107"/>
      <c r="D866" s="86"/>
      <c r="E866" s="108"/>
      <c r="F866" s="109"/>
      <c r="G866" s="109"/>
    </row>
    <row r="867" spans="1:7">
      <c r="A867" s="83"/>
      <c r="B867" s="106"/>
      <c r="C867" s="107"/>
      <c r="D867" s="86"/>
      <c r="E867" s="108"/>
      <c r="F867" s="109"/>
      <c r="G867" s="109"/>
    </row>
    <row r="868" spans="1:7">
      <c r="A868" s="83"/>
      <c r="B868" s="106"/>
      <c r="C868" s="107"/>
      <c r="D868" s="86"/>
      <c r="E868" s="108"/>
      <c r="F868" s="109"/>
      <c r="G868" s="109"/>
    </row>
    <row r="869" spans="1:7">
      <c r="A869" s="83"/>
      <c r="B869" s="106"/>
      <c r="C869" s="107"/>
      <c r="D869" s="86"/>
      <c r="E869" s="108"/>
      <c r="F869" s="109"/>
      <c r="G869" s="109"/>
    </row>
    <row r="870" spans="1:7">
      <c r="A870" s="83"/>
      <c r="B870" s="106"/>
      <c r="C870" s="107"/>
      <c r="D870" s="86"/>
      <c r="E870" s="108"/>
      <c r="F870" s="109"/>
      <c r="G870" s="109"/>
    </row>
    <row r="871" spans="1:7">
      <c r="A871" s="83"/>
      <c r="B871" s="106"/>
      <c r="C871" s="107"/>
      <c r="D871" s="86"/>
      <c r="E871" s="108"/>
      <c r="F871" s="109"/>
      <c r="G871" s="109"/>
    </row>
    <row r="872" spans="1:7">
      <c r="A872" s="83"/>
      <c r="B872" s="106"/>
      <c r="C872" s="107"/>
      <c r="D872" s="86"/>
      <c r="E872" s="108"/>
      <c r="F872" s="109"/>
      <c r="G872" s="109"/>
    </row>
    <row r="873" spans="1:7">
      <c r="A873" s="83"/>
      <c r="B873" s="106"/>
      <c r="C873" s="107"/>
      <c r="D873" s="86"/>
      <c r="E873" s="108"/>
      <c r="F873" s="109"/>
      <c r="G873" s="109"/>
    </row>
    <row r="874" spans="1:7">
      <c r="A874" s="83"/>
      <c r="B874" s="106"/>
      <c r="C874" s="107"/>
      <c r="D874" s="86"/>
      <c r="E874" s="108"/>
      <c r="F874" s="109"/>
      <c r="G874" s="109"/>
    </row>
    <row r="875" spans="1:7">
      <c r="A875" s="83"/>
      <c r="B875" s="106"/>
      <c r="C875" s="107"/>
      <c r="D875" s="86"/>
      <c r="E875" s="108"/>
      <c r="F875" s="109"/>
      <c r="G875" s="109"/>
    </row>
    <row r="876" spans="1:7">
      <c r="A876" s="83"/>
      <c r="B876" s="106"/>
      <c r="C876" s="107"/>
      <c r="D876" s="86"/>
      <c r="E876" s="108"/>
      <c r="F876" s="109"/>
      <c r="G876" s="109"/>
    </row>
    <row r="877" spans="1:7">
      <c r="A877" s="83"/>
      <c r="B877" s="106"/>
      <c r="C877" s="107"/>
      <c r="D877" s="86"/>
      <c r="E877" s="108"/>
      <c r="F877" s="109"/>
      <c r="G877" s="109"/>
    </row>
    <row r="878" spans="1:7">
      <c r="A878" s="83"/>
      <c r="B878" s="106"/>
      <c r="C878" s="107"/>
      <c r="D878" s="86"/>
      <c r="E878" s="108"/>
      <c r="F878" s="109"/>
      <c r="G878" s="109"/>
    </row>
    <row r="879" spans="1:7">
      <c r="A879" s="83"/>
      <c r="B879" s="106"/>
      <c r="C879" s="107"/>
      <c r="D879" s="86"/>
      <c r="E879" s="108"/>
      <c r="F879" s="109"/>
      <c r="G879" s="109"/>
    </row>
    <row r="880" spans="1:7">
      <c r="A880" s="83"/>
      <c r="B880" s="106"/>
      <c r="C880" s="107"/>
      <c r="D880" s="86"/>
      <c r="E880" s="108"/>
      <c r="F880" s="109"/>
      <c r="G880" s="109"/>
    </row>
    <row r="881" spans="1:7">
      <c r="A881" s="83"/>
      <c r="B881" s="106"/>
      <c r="C881" s="107"/>
      <c r="D881" s="86"/>
      <c r="E881" s="108"/>
      <c r="F881" s="109"/>
      <c r="G881" s="109"/>
    </row>
    <row r="882" spans="1:7">
      <c r="A882" s="83"/>
      <c r="B882" s="106"/>
      <c r="C882" s="107"/>
      <c r="D882" s="86"/>
      <c r="E882" s="108"/>
      <c r="F882" s="109"/>
      <c r="G882" s="109"/>
    </row>
    <row r="883" spans="1:7">
      <c r="A883" s="83"/>
      <c r="B883" s="106"/>
      <c r="C883" s="107"/>
      <c r="D883" s="86"/>
      <c r="E883" s="108"/>
      <c r="F883" s="109"/>
      <c r="G883" s="109"/>
    </row>
    <row r="884" spans="1:7">
      <c r="A884" s="83"/>
      <c r="B884" s="106"/>
      <c r="C884" s="107"/>
      <c r="D884" s="86"/>
      <c r="E884" s="108"/>
      <c r="F884" s="109"/>
      <c r="G884" s="109"/>
    </row>
    <row r="885" spans="1:7">
      <c r="A885" s="83"/>
      <c r="B885" s="106"/>
      <c r="C885" s="107"/>
      <c r="D885" s="86"/>
      <c r="E885" s="108"/>
      <c r="F885" s="109"/>
      <c r="G885" s="109"/>
    </row>
    <row r="886" spans="1:7">
      <c r="A886" s="83"/>
      <c r="B886" s="106"/>
      <c r="C886" s="107"/>
      <c r="D886" s="86"/>
      <c r="E886" s="108"/>
      <c r="F886" s="109"/>
      <c r="G886" s="109"/>
    </row>
    <row r="887" spans="1:7">
      <c r="A887" s="83"/>
      <c r="B887" s="106"/>
      <c r="C887" s="107"/>
      <c r="D887" s="86"/>
      <c r="E887" s="108"/>
      <c r="F887" s="109"/>
      <c r="G887" s="109"/>
    </row>
    <row r="888" spans="1:7">
      <c r="A888" s="83"/>
      <c r="B888" s="106"/>
      <c r="C888" s="107"/>
      <c r="D888" s="86"/>
      <c r="E888" s="108"/>
      <c r="F888" s="109"/>
      <c r="G888" s="109"/>
    </row>
    <row r="889" spans="1:7">
      <c r="A889" s="83"/>
      <c r="B889" s="106"/>
      <c r="C889" s="107"/>
      <c r="D889" s="86"/>
      <c r="E889" s="108"/>
      <c r="F889" s="109"/>
      <c r="G889" s="109"/>
    </row>
    <row r="890" spans="1:7">
      <c r="A890" s="83"/>
      <c r="B890" s="106"/>
      <c r="C890" s="107"/>
      <c r="D890" s="86"/>
      <c r="E890" s="108"/>
      <c r="F890" s="109"/>
      <c r="G890" s="109"/>
    </row>
    <row r="891" spans="1:7">
      <c r="A891" s="83"/>
      <c r="B891" s="106"/>
      <c r="C891" s="107"/>
      <c r="D891" s="86"/>
      <c r="E891" s="108"/>
      <c r="F891" s="109"/>
      <c r="G891" s="109"/>
    </row>
    <row r="892" spans="1:7">
      <c r="A892" s="83"/>
      <c r="B892" s="106"/>
      <c r="C892" s="107"/>
      <c r="D892" s="86"/>
      <c r="E892" s="108"/>
      <c r="F892" s="109"/>
      <c r="G892" s="109"/>
    </row>
    <row r="893" spans="1:7">
      <c r="A893" s="83"/>
      <c r="B893" s="106"/>
      <c r="C893" s="107"/>
      <c r="D893" s="86"/>
      <c r="E893" s="108"/>
      <c r="F893" s="109"/>
      <c r="G893" s="109"/>
    </row>
    <row r="894" spans="1:7">
      <c r="A894" s="83"/>
      <c r="B894" s="106"/>
      <c r="C894" s="107"/>
      <c r="D894" s="86"/>
      <c r="E894" s="108"/>
      <c r="F894" s="109"/>
      <c r="G894" s="109"/>
    </row>
    <row r="895" spans="1:7">
      <c r="A895" s="83"/>
      <c r="B895" s="106"/>
      <c r="C895" s="107"/>
      <c r="D895" s="86"/>
      <c r="E895" s="108"/>
      <c r="F895" s="109"/>
      <c r="G895" s="109"/>
    </row>
    <row r="896" spans="1:7">
      <c r="A896" s="83"/>
      <c r="B896" s="106"/>
      <c r="C896" s="107"/>
      <c r="D896" s="86"/>
      <c r="E896" s="108"/>
      <c r="F896" s="109"/>
      <c r="G896" s="109"/>
    </row>
    <row r="897" spans="1:7">
      <c r="A897" s="83"/>
      <c r="B897" s="106"/>
      <c r="C897" s="107"/>
      <c r="D897" s="86"/>
      <c r="E897" s="108"/>
      <c r="F897" s="109"/>
      <c r="G897" s="109"/>
    </row>
    <row r="898" spans="1:7">
      <c r="A898" s="83"/>
      <c r="B898" s="106"/>
      <c r="C898" s="107"/>
      <c r="D898" s="86"/>
      <c r="E898" s="108"/>
      <c r="F898" s="109"/>
      <c r="G898" s="109"/>
    </row>
    <row r="899" spans="1:7">
      <c r="A899" s="83"/>
      <c r="B899" s="106"/>
      <c r="C899" s="107"/>
      <c r="D899" s="86"/>
      <c r="E899" s="108"/>
      <c r="F899" s="109"/>
      <c r="G899" s="109"/>
    </row>
    <row r="900" spans="1:7">
      <c r="A900" s="83"/>
      <c r="B900" s="106"/>
      <c r="C900" s="107"/>
      <c r="D900" s="86"/>
      <c r="E900" s="108"/>
      <c r="F900" s="109"/>
      <c r="G900" s="109"/>
    </row>
    <row r="901" spans="1:7">
      <c r="A901" s="83"/>
      <c r="B901" s="106"/>
      <c r="C901" s="107"/>
      <c r="D901" s="86"/>
      <c r="E901" s="108"/>
      <c r="F901" s="109"/>
      <c r="G901" s="109"/>
    </row>
    <row r="902" spans="1:7">
      <c r="A902" s="83"/>
      <c r="B902" s="106"/>
      <c r="C902" s="107"/>
      <c r="D902" s="86"/>
      <c r="E902" s="108"/>
      <c r="F902" s="109"/>
      <c r="G902" s="109"/>
    </row>
    <row r="903" spans="1:7">
      <c r="A903" s="83"/>
      <c r="B903" s="106"/>
      <c r="C903" s="107"/>
      <c r="D903" s="86"/>
      <c r="E903" s="108"/>
      <c r="F903" s="109"/>
      <c r="G903" s="109"/>
    </row>
    <row r="904" spans="1:7">
      <c r="A904" s="83"/>
      <c r="B904" s="106"/>
      <c r="C904" s="107"/>
      <c r="D904" s="86"/>
      <c r="E904" s="108"/>
      <c r="F904" s="109"/>
      <c r="G904" s="109"/>
    </row>
    <row r="905" spans="1:7">
      <c r="A905" s="83"/>
      <c r="B905" s="106"/>
      <c r="C905" s="107"/>
      <c r="D905" s="86"/>
      <c r="E905" s="108"/>
      <c r="F905" s="109"/>
      <c r="G905" s="109"/>
    </row>
    <row r="906" spans="1:7">
      <c r="A906" s="83"/>
      <c r="B906" s="106"/>
      <c r="C906" s="107"/>
      <c r="D906" s="86"/>
      <c r="E906" s="108"/>
      <c r="F906" s="109"/>
      <c r="G906" s="109"/>
    </row>
    <row r="907" spans="1:7">
      <c r="A907" s="83"/>
      <c r="B907" s="106"/>
      <c r="C907" s="107"/>
      <c r="D907" s="86"/>
      <c r="E907" s="108"/>
      <c r="F907" s="109"/>
      <c r="G907" s="109"/>
    </row>
    <row r="908" spans="1:7">
      <c r="A908" s="83"/>
      <c r="B908" s="106"/>
      <c r="C908" s="107"/>
      <c r="D908" s="86"/>
      <c r="E908" s="108"/>
      <c r="F908" s="109"/>
      <c r="G908" s="109"/>
    </row>
    <row r="909" spans="1:7">
      <c r="A909" s="83"/>
      <c r="B909" s="106"/>
      <c r="C909" s="107"/>
      <c r="D909" s="86"/>
      <c r="E909" s="108"/>
      <c r="F909" s="109"/>
      <c r="G909" s="109"/>
    </row>
    <row r="910" spans="1:7">
      <c r="A910" s="83"/>
      <c r="B910" s="106"/>
      <c r="C910" s="107"/>
      <c r="D910" s="86"/>
      <c r="E910" s="108"/>
      <c r="F910" s="109"/>
      <c r="G910" s="109"/>
    </row>
    <row r="911" spans="1:7">
      <c r="A911" s="83"/>
      <c r="B911" s="106"/>
      <c r="C911" s="107"/>
      <c r="D911" s="86"/>
      <c r="E911" s="108"/>
      <c r="F911" s="109"/>
      <c r="G911" s="109"/>
    </row>
    <row r="912" spans="1:7">
      <c r="A912" s="83"/>
      <c r="B912" s="106"/>
      <c r="C912" s="107"/>
      <c r="D912" s="86"/>
      <c r="E912" s="108"/>
      <c r="F912" s="109"/>
      <c r="G912" s="109"/>
    </row>
    <row r="913" spans="1:7">
      <c r="A913" s="83"/>
      <c r="B913" s="106"/>
      <c r="C913" s="107"/>
      <c r="D913" s="86"/>
      <c r="E913" s="108"/>
      <c r="F913" s="109"/>
      <c r="G913" s="109"/>
    </row>
    <row r="914" spans="1:7">
      <c r="A914" s="83"/>
      <c r="B914" s="106"/>
      <c r="C914" s="107"/>
      <c r="D914" s="86"/>
      <c r="E914" s="108"/>
      <c r="F914" s="109"/>
      <c r="G914" s="109"/>
    </row>
    <row r="915" spans="1:7">
      <c r="A915" s="83"/>
      <c r="B915" s="106"/>
      <c r="C915" s="107"/>
      <c r="D915" s="86"/>
      <c r="E915" s="108"/>
      <c r="F915" s="109"/>
      <c r="G915" s="109"/>
    </row>
    <row r="916" spans="1:7">
      <c r="A916" s="83"/>
      <c r="B916" s="106"/>
      <c r="C916" s="107"/>
      <c r="D916" s="86"/>
      <c r="E916" s="108"/>
      <c r="F916" s="109"/>
      <c r="G916" s="109"/>
    </row>
    <row r="917" spans="1:7">
      <c r="A917" s="83"/>
      <c r="B917" s="106"/>
      <c r="C917" s="107"/>
      <c r="D917" s="86"/>
      <c r="E917" s="108"/>
      <c r="F917" s="109"/>
      <c r="G917" s="109"/>
    </row>
    <row r="918" spans="1:7">
      <c r="A918" s="83"/>
      <c r="B918" s="106"/>
      <c r="C918" s="107"/>
      <c r="D918" s="86"/>
      <c r="E918" s="108"/>
      <c r="F918" s="109"/>
      <c r="G918" s="109"/>
    </row>
    <row r="919" spans="1:7">
      <c r="A919" s="83"/>
      <c r="B919" s="106"/>
      <c r="C919" s="107"/>
      <c r="D919" s="86"/>
      <c r="E919" s="108"/>
      <c r="F919" s="109"/>
      <c r="G919" s="109"/>
    </row>
    <row r="920" spans="1:7">
      <c r="A920" s="83"/>
      <c r="B920" s="106"/>
      <c r="C920" s="107"/>
      <c r="D920" s="86"/>
      <c r="E920" s="108"/>
      <c r="F920" s="109"/>
      <c r="G920" s="109"/>
    </row>
    <row r="921" spans="1:7">
      <c r="A921" s="83"/>
      <c r="B921" s="106"/>
      <c r="C921" s="107"/>
      <c r="D921" s="86"/>
      <c r="E921" s="108"/>
      <c r="F921" s="109"/>
      <c r="G921" s="109"/>
    </row>
    <row r="922" spans="1:7">
      <c r="A922" s="83"/>
      <c r="B922" s="106"/>
      <c r="C922" s="107"/>
      <c r="D922" s="86"/>
      <c r="E922" s="108"/>
      <c r="F922" s="109"/>
      <c r="G922" s="109"/>
    </row>
    <row r="923" spans="1:7">
      <c r="A923" s="83"/>
      <c r="B923" s="106"/>
      <c r="C923" s="107"/>
      <c r="D923" s="86"/>
      <c r="E923" s="108"/>
      <c r="F923" s="109"/>
      <c r="G923" s="109"/>
    </row>
    <row r="924" spans="1:7">
      <c r="A924" s="83"/>
      <c r="B924" s="106"/>
      <c r="C924" s="107"/>
      <c r="D924" s="86"/>
      <c r="E924" s="108"/>
      <c r="F924" s="109"/>
      <c r="G924" s="109"/>
    </row>
    <row r="925" spans="1:7">
      <c r="A925" s="83"/>
      <c r="B925" s="106"/>
      <c r="C925" s="107"/>
      <c r="D925" s="86"/>
      <c r="E925" s="108"/>
      <c r="F925" s="109"/>
      <c r="G925" s="109"/>
    </row>
    <row r="926" spans="1:7">
      <c r="A926" s="83"/>
      <c r="B926" s="106"/>
      <c r="C926" s="107"/>
      <c r="D926" s="86"/>
      <c r="E926" s="108"/>
      <c r="F926" s="109"/>
      <c r="G926" s="109"/>
    </row>
    <row r="927" spans="1:7">
      <c r="A927" s="83"/>
      <c r="B927" s="106"/>
      <c r="C927" s="107"/>
      <c r="D927" s="86"/>
      <c r="E927" s="108"/>
      <c r="F927" s="109"/>
      <c r="G927" s="109"/>
    </row>
    <row r="928" spans="1:7">
      <c r="A928" s="83"/>
      <c r="B928" s="106"/>
      <c r="C928" s="107"/>
      <c r="D928" s="86"/>
      <c r="E928" s="108"/>
      <c r="F928" s="109"/>
      <c r="G928" s="109"/>
    </row>
    <row r="929" spans="1:7">
      <c r="A929" s="83"/>
      <c r="B929" s="106"/>
      <c r="C929" s="107"/>
      <c r="D929" s="86"/>
      <c r="E929" s="108"/>
      <c r="F929" s="109"/>
      <c r="G929" s="109"/>
    </row>
    <row r="930" spans="1:7">
      <c r="A930" s="83"/>
      <c r="B930" s="106"/>
      <c r="C930" s="107"/>
      <c r="D930" s="86"/>
      <c r="E930" s="108"/>
      <c r="F930" s="109"/>
      <c r="G930" s="109"/>
    </row>
    <row r="931" spans="1:7">
      <c r="A931" s="83"/>
      <c r="B931" s="106"/>
      <c r="C931" s="107"/>
      <c r="D931" s="86"/>
      <c r="E931" s="108"/>
      <c r="F931" s="109"/>
      <c r="G931" s="109"/>
    </row>
    <row r="932" spans="1:7">
      <c r="A932" s="83"/>
      <c r="B932" s="106"/>
      <c r="C932" s="107"/>
      <c r="D932" s="86"/>
      <c r="E932" s="108"/>
      <c r="F932" s="109"/>
      <c r="G932" s="109"/>
    </row>
    <row r="933" spans="1:7">
      <c r="A933" s="83"/>
      <c r="B933" s="106"/>
      <c r="C933" s="107"/>
      <c r="D933" s="86"/>
      <c r="E933" s="108"/>
      <c r="F933" s="109"/>
      <c r="G933" s="109"/>
    </row>
    <row r="934" spans="1:7">
      <c r="A934" s="83"/>
      <c r="B934" s="106"/>
      <c r="C934" s="107"/>
      <c r="D934" s="86"/>
      <c r="E934" s="108"/>
      <c r="F934" s="109"/>
      <c r="G934" s="109"/>
    </row>
    <row r="935" spans="1:7">
      <c r="A935" s="83"/>
      <c r="B935" s="106"/>
      <c r="C935" s="107"/>
      <c r="D935" s="86"/>
      <c r="E935" s="108"/>
      <c r="F935" s="109"/>
      <c r="G935" s="109"/>
    </row>
    <row r="936" spans="1:7">
      <c r="A936" s="83"/>
      <c r="B936" s="106"/>
      <c r="C936" s="107"/>
      <c r="D936" s="86"/>
      <c r="E936" s="108"/>
      <c r="F936" s="109"/>
      <c r="G936" s="109"/>
    </row>
    <row r="937" spans="1:7">
      <c r="A937" s="83"/>
      <c r="B937" s="106"/>
      <c r="C937" s="107"/>
      <c r="D937" s="86"/>
      <c r="E937" s="108"/>
      <c r="F937" s="109"/>
      <c r="G937" s="109"/>
    </row>
    <row r="938" spans="1:7">
      <c r="A938" s="83"/>
      <c r="B938" s="106"/>
      <c r="C938" s="107"/>
      <c r="D938" s="86"/>
      <c r="E938" s="108"/>
      <c r="F938" s="109"/>
      <c r="G938" s="109"/>
    </row>
    <row r="939" spans="1:7">
      <c r="A939" s="83"/>
      <c r="B939" s="106"/>
      <c r="C939" s="107"/>
      <c r="D939" s="86"/>
      <c r="E939" s="108"/>
      <c r="F939" s="109"/>
      <c r="G939" s="109"/>
    </row>
    <row r="940" spans="1:7">
      <c r="A940" s="83"/>
      <c r="B940" s="106"/>
      <c r="C940" s="107"/>
      <c r="D940" s="86"/>
      <c r="E940" s="108"/>
      <c r="F940" s="109"/>
      <c r="G940" s="109"/>
    </row>
    <row r="941" spans="1:7">
      <c r="A941" s="83"/>
      <c r="B941" s="106"/>
      <c r="C941" s="107"/>
      <c r="D941" s="86"/>
      <c r="E941" s="108"/>
      <c r="F941" s="109"/>
      <c r="G941" s="109"/>
    </row>
    <row r="942" spans="1:7">
      <c r="A942" s="83"/>
      <c r="B942" s="106"/>
      <c r="C942" s="107"/>
      <c r="D942" s="86"/>
      <c r="E942" s="108"/>
      <c r="F942" s="109"/>
      <c r="G942" s="109"/>
    </row>
    <row r="943" spans="1:7">
      <c r="A943" s="83"/>
      <c r="B943" s="106"/>
      <c r="C943" s="107"/>
      <c r="D943" s="86"/>
      <c r="E943" s="108"/>
      <c r="F943" s="109"/>
      <c r="G943" s="109"/>
    </row>
    <row r="944" spans="1:7">
      <c r="A944" s="83"/>
      <c r="B944" s="106"/>
      <c r="C944" s="107"/>
      <c r="D944" s="86"/>
      <c r="E944" s="108"/>
      <c r="F944" s="109"/>
      <c r="G944" s="109"/>
    </row>
    <row r="945" spans="1:7">
      <c r="A945" s="83"/>
      <c r="B945" s="106"/>
      <c r="C945" s="107"/>
      <c r="D945" s="86"/>
      <c r="E945" s="108"/>
      <c r="F945" s="109"/>
      <c r="G945" s="109"/>
    </row>
    <row r="946" spans="1:7">
      <c r="A946" s="83"/>
      <c r="B946" s="106"/>
      <c r="C946" s="107"/>
      <c r="D946" s="86"/>
      <c r="E946" s="108"/>
      <c r="F946" s="109"/>
      <c r="G946" s="109"/>
    </row>
    <row r="947" spans="1:7">
      <c r="A947" s="83"/>
      <c r="B947" s="106"/>
      <c r="C947" s="107"/>
      <c r="D947" s="86"/>
      <c r="E947" s="108"/>
      <c r="F947" s="109"/>
      <c r="G947" s="109"/>
    </row>
    <row r="948" spans="1:7">
      <c r="A948" s="83"/>
      <c r="B948" s="106"/>
      <c r="C948" s="107"/>
      <c r="D948" s="86"/>
      <c r="E948" s="108"/>
      <c r="F948" s="109"/>
      <c r="G948" s="109"/>
    </row>
    <row r="949" spans="1:7">
      <c r="A949" s="83"/>
      <c r="B949" s="106"/>
      <c r="C949" s="107"/>
      <c r="D949" s="86"/>
      <c r="E949" s="108"/>
      <c r="F949" s="109"/>
      <c r="G949" s="109"/>
    </row>
    <row r="950" spans="1:7">
      <c r="A950" s="83"/>
      <c r="B950" s="106"/>
      <c r="C950" s="107"/>
      <c r="D950" s="86"/>
      <c r="E950" s="108"/>
      <c r="F950" s="109"/>
      <c r="G950" s="109"/>
    </row>
    <row r="951" spans="1:7">
      <c r="A951" s="83"/>
      <c r="B951" s="106"/>
      <c r="C951" s="107"/>
      <c r="D951" s="86"/>
      <c r="E951" s="108"/>
      <c r="F951" s="109"/>
      <c r="G951" s="109"/>
    </row>
    <row r="952" spans="1:7">
      <c r="A952" s="83"/>
      <c r="B952" s="106"/>
      <c r="C952" s="107"/>
      <c r="D952" s="86"/>
      <c r="E952" s="108"/>
      <c r="F952" s="109"/>
      <c r="G952" s="109"/>
    </row>
    <row r="953" spans="1:7">
      <c r="A953" s="83"/>
      <c r="B953" s="106"/>
      <c r="C953" s="107"/>
      <c r="D953" s="86"/>
      <c r="E953" s="108"/>
      <c r="F953" s="109"/>
      <c r="G953" s="109"/>
    </row>
    <row r="954" spans="1:7">
      <c r="A954" s="83"/>
      <c r="B954" s="106"/>
      <c r="C954" s="107"/>
      <c r="D954" s="86"/>
      <c r="E954" s="108"/>
      <c r="F954" s="109"/>
      <c r="G954" s="109"/>
    </row>
    <row r="955" spans="1:7">
      <c r="A955" s="83"/>
      <c r="B955" s="106"/>
      <c r="C955" s="107"/>
      <c r="D955" s="86"/>
      <c r="E955" s="108"/>
      <c r="F955" s="109"/>
      <c r="G955" s="109"/>
    </row>
    <row r="956" spans="1:7">
      <c r="A956" s="83"/>
      <c r="B956" s="106"/>
      <c r="C956" s="107"/>
      <c r="D956" s="86"/>
      <c r="E956" s="108"/>
      <c r="F956" s="109"/>
      <c r="G956" s="109"/>
    </row>
    <row r="957" spans="1:7">
      <c r="A957" s="83"/>
      <c r="B957" s="106"/>
      <c r="C957" s="107"/>
      <c r="D957" s="86"/>
      <c r="E957" s="108"/>
      <c r="F957" s="109"/>
      <c r="G957" s="109"/>
    </row>
    <row r="958" spans="1:7">
      <c r="A958" s="83"/>
      <c r="B958" s="106"/>
      <c r="C958" s="107"/>
      <c r="D958" s="86"/>
      <c r="E958" s="108"/>
      <c r="F958" s="109"/>
      <c r="G958" s="109"/>
    </row>
    <row r="959" spans="1:7">
      <c r="A959" s="83"/>
      <c r="B959" s="106"/>
      <c r="C959" s="107"/>
      <c r="D959" s="86"/>
      <c r="E959" s="108"/>
      <c r="F959" s="109"/>
      <c r="G959" s="109"/>
    </row>
    <row r="960" spans="1:7">
      <c r="A960" s="83"/>
      <c r="B960" s="106"/>
      <c r="C960" s="107"/>
      <c r="D960" s="86"/>
      <c r="E960" s="108"/>
      <c r="F960" s="109"/>
      <c r="G960" s="109"/>
    </row>
    <row r="961" spans="1:7">
      <c r="A961" s="83"/>
      <c r="B961" s="106"/>
      <c r="C961" s="107"/>
      <c r="D961" s="86"/>
      <c r="E961" s="108"/>
      <c r="F961" s="109"/>
      <c r="G961" s="109"/>
    </row>
    <row r="962" spans="1:7">
      <c r="A962" s="83"/>
      <c r="B962" s="106"/>
      <c r="C962" s="107"/>
      <c r="D962" s="86"/>
      <c r="E962" s="108"/>
      <c r="F962" s="109"/>
      <c r="G962" s="109"/>
    </row>
    <row r="963" spans="1:7">
      <c r="A963" s="83"/>
      <c r="B963" s="106"/>
      <c r="C963" s="107"/>
      <c r="D963" s="86"/>
      <c r="E963" s="108"/>
      <c r="F963" s="109"/>
      <c r="G963" s="109"/>
    </row>
    <row r="964" spans="1:7">
      <c r="A964" s="83"/>
      <c r="B964" s="106"/>
      <c r="C964" s="107"/>
      <c r="D964" s="86"/>
      <c r="E964" s="108"/>
      <c r="F964" s="109"/>
      <c r="G964" s="109"/>
    </row>
    <row r="965" spans="1:7">
      <c r="A965" s="83"/>
      <c r="B965" s="106"/>
      <c r="C965" s="107"/>
      <c r="D965" s="86"/>
      <c r="E965" s="108"/>
      <c r="F965" s="109"/>
      <c r="G965" s="109"/>
    </row>
    <row r="966" spans="1:7">
      <c r="A966" s="83"/>
      <c r="B966" s="106"/>
      <c r="C966" s="107"/>
      <c r="D966" s="86"/>
      <c r="E966" s="108"/>
      <c r="F966" s="109"/>
      <c r="G966" s="109"/>
    </row>
    <row r="967" spans="1:7">
      <c r="A967" s="83"/>
      <c r="B967" s="106"/>
      <c r="C967" s="107"/>
      <c r="D967" s="86"/>
      <c r="E967" s="108"/>
      <c r="F967" s="109"/>
      <c r="G967" s="109"/>
    </row>
    <row r="968" spans="1:7">
      <c r="A968" s="83"/>
      <c r="B968" s="106"/>
      <c r="C968" s="107"/>
      <c r="D968" s="86"/>
      <c r="E968" s="108"/>
      <c r="F968" s="109"/>
      <c r="G968" s="109"/>
    </row>
    <row r="969" spans="1:7">
      <c r="A969" s="83"/>
      <c r="B969" s="106"/>
      <c r="C969" s="107"/>
      <c r="D969" s="86"/>
      <c r="E969" s="108"/>
      <c r="F969" s="109"/>
      <c r="G969" s="109"/>
    </row>
    <row r="970" spans="1:7">
      <c r="A970" s="83"/>
      <c r="B970" s="106"/>
      <c r="C970" s="107"/>
      <c r="D970" s="86"/>
      <c r="E970" s="108"/>
      <c r="F970" s="109"/>
      <c r="G970" s="109"/>
    </row>
    <row r="971" spans="1:7">
      <c r="A971" s="83"/>
      <c r="B971" s="106"/>
      <c r="C971" s="107"/>
      <c r="D971" s="86"/>
      <c r="E971" s="108"/>
      <c r="F971" s="109"/>
      <c r="G971" s="109"/>
    </row>
    <row r="972" spans="1:7">
      <c r="A972" s="83"/>
      <c r="B972" s="106"/>
      <c r="C972" s="107"/>
      <c r="D972" s="86"/>
      <c r="E972" s="108"/>
      <c r="F972" s="109"/>
      <c r="G972" s="109"/>
    </row>
    <row r="973" spans="1:7">
      <c r="A973" s="83"/>
      <c r="B973" s="106"/>
      <c r="C973" s="107"/>
      <c r="D973" s="86"/>
      <c r="E973" s="108"/>
      <c r="F973" s="109"/>
      <c r="G973" s="109"/>
    </row>
    <row r="974" spans="1:7">
      <c r="A974" s="83"/>
      <c r="B974" s="106"/>
      <c r="C974" s="107"/>
      <c r="D974" s="86"/>
      <c r="E974" s="108"/>
      <c r="F974" s="109"/>
      <c r="G974" s="109"/>
    </row>
    <row r="975" spans="1:7">
      <c r="A975" s="83"/>
      <c r="B975" s="106"/>
      <c r="C975" s="107"/>
      <c r="D975" s="86"/>
      <c r="E975" s="108"/>
      <c r="F975" s="109"/>
      <c r="G975" s="109"/>
    </row>
    <row r="976" spans="1:7">
      <c r="A976" s="83"/>
      <c r="B976" s="106"/>
      <c r="C976" s="107"/>
      <c r="D976" s="86"/>
      <c r="E976" s="108"/>
      <c r="F976" s="109"/>
      <c r="G976" s="109"/>
    </row>
    <row r="977" spans="1:7">
      <c r="A977" s="83"/>
      <c r="B977" s="106"/>
      <c r="C977" s="107"/>
      <c r="D977" s="86"/>
      <c r="E977" s="108"/>
      <c r="F977" s="109"/>
      <c r="G977" s="109"/>
    </row>
    <row r="978" spans="1:7">
      <c r="A978" s="83"/>
      <c r="B978" s="106"/>
      <c r="C978" s="107"/>
      <c r="D978" s="86"/>
      <c r="E978" s="108"/>
      <c r="F978" s="109"/>
      <c r="G978" s="109"/>
    </row>
    <row r="979" spans="1:7">
      <c r="A979" s="83"/>
      <c r="B979" s="106"/>
      <c r="C979" s="107"/>
      <c r="D979" s="86"/>
      <c r="E979" s="108"/>
      <c r="F979" s="109"/>
      <c r="G979" s="109"/>
    </row>
    <row r="980" spans="1:7">
      <c r="A980" s="83"/>
      <c r="B980" s="106"/>
      <c r="C980" s="107"/>
      <c r="D980" s="86"/>
      <c r="E980" s="108"/>
      <c r="F980" s="109"/>
      <c r="G980" s="109"/>
    </row>
    <row r="981" spans="1:7">
      <c r="A981" s="83"/>
      <c r="B981" s="106"/>
      <c r="C981" s="107"/>
      <c r="D981" s="86"/>
      <c r="E981" s="108"/>
      <c r="F981" s="109"/>
      <c r="G981" s="109"/>
    </row>
    <row r="982" spans="1:7">
      <c r="A982" s="83"/>
      <c r="B982" s="106"/>
      <c r="C982" s="107"/>
      <c r="D982" s="86"/>
      <c r="E982" s="108"/>
      <c r="F982" s="109"/>
      <c r="G982" s="109"/>
    </row>
    <row r="983" spans="1:7">
      <c r="A983" s="83"/>
      <c r="B983" s="106"/>
      <c r="C983" s="107"/>
      <c r="D983" s="86"/>
      <c r="E983" s="108"/>
      <c r="F983" s="109"/>
      <c r="G983" s="109"/>
    </row>
    <row r="984" spans="1:7">
      <c r="A984" s="83"/>
      <c r="B984" s="106"/>
      <c r="C984" s="107"/>
      <c r="D984" s="86"/>
      <c r="E984" s="108"/>
      <c r="F984" s="109"/>
      <c r="G984" s="109"/>
    </row>
    <row r="985" spans="1:7">
      <c r="A985" s="83"/>
      <c r="B985" s="106"/>
      <c r="C985" s="107"/>
      <c r="D985" s="86"/>
      <c r="E985" s="108"/>
      <c r="F985" s="109"/>
      <c r="G985" s="109"/>
    </row>
    <row r="986" spans="1:7">
      <c r="A986" s="83"/>
      <c r="B986" s="106"/>
      <c r="C986" s="107"/>
      <c r="D986" s="86"/>
      <c r="E986" s="108"/>
      <c r="F986" s="109"/>
      <c r="G986" s="109"/>
    </row>
    <row r="987" spans="1:7">
      <c r="A987" s="83"/>
      <c r="B987" s="106"/>
      <c r="C987" s="107"/>
      <c r="D987" s="86"/>
      <c r="E987" s="108"/>
      <c r="F987" s="109"/>
      <c r="G987" s="109"/>
    </row>
    <row r="988" spans="1:7">
      <c r="A988" s="83"/>
      <c r="B988" s="106"/>
      <c r="C988" s="107"/>
      <c r="D988" s="86"/>
      <c r="E988" s="108"/>
      <c r="F988" s="109"/>
      <c r="G988" s="109"/>
    </row>
    <row r="989" spans="1:7">
      <c r="A989" s="83"/>
      <c r="B989" s="106"/>
      <c r="C989" s="107"/>
      <c r="D989" s="86"/>
      <c r="E989" s="108"/>
      <c r="F989" s="109"/>
      <c r="G989" s="109"/>
    </row>
    <row r="990" spans="1:7">
      <c r="A990" s="83"/>
      <c r="B990" s="106"/>
      <c r="C990" s="107"/>
      <c r="D990" s="86"/>
      <c r="E990" s="108"/>
      <c r="F990" s="109"/>
      <c r="G990" s="109"/>
    </row>
    <row r="991" spans="1:7">
      <c r="A991" s="83"/>
      <c r="B991" s="106"/>
      <c r="C991" s="107"/>
      <c r="D991" s="86"/>
      <c r="E991" s="108"/>
      <c r="F991" s="109"/>
      <c r="G991" s="109"/>
    </row>
    <row r="992" spans="1:7">
      <c r="A992" s="83"/>
      <c r="B992" s="106"/>
      <c r="C992" s="107"/>
      <c r="D992" s="86"/>
      <c r="E992" s="108"/>
      <c r="F992" s="109"/>
      <c r="G992" s="109"/>
    </row>
    <row r="993" spans="1:7">
      <c r="A993" s="83"/>
      <c r="B993" s="106"/>
      <c r="C993" s="107"/>
      <c r="D993" s="86"/>
      <c r="E993" s="108"/>
      <c r="F993" s="109"/>
      <c r="G993" s="109"/>
    </row>
    <row r="994" spans="1:7">
      <c r="A994" s="83"/>
      <c r="B994" s="106"/>
      <c r="C994" s="107"/>
      <c r="D994" s="86"/>
      <c r="E994" s="108"/>
      <c r="F994" s="109"/>
      <c r="G994" s="109"/>
    </row>
    <row r="995" spans="1:7">
      <c r="A995" s="83"/>
      <c r="B995" s="106"/>
      <c r="C995" s="107"/>
      <c r="D995" s="86"/>
      <c r="E995" s="108"/>
      <c r="F995" s="109"/>
      <c r="G995" s="109"/>
    </row>
    <row r="996" spans="1:7">
      <c r="A996" s="83"/>
      <c r="B996" s="106"/>
      <c r="C996" s="107"/>
      <c r="D996" s="86"/>
      <c r="E996" s="108"/>
      <c r="F996" s="109"/>
      <c r="G996" s="109"/>
    </row>
    <row r="997" spans="1:7">
      <c r="A997" s="83"/>
      <c r="B997" s="106"/>
      <c r="C997" s="107"/>
      <c r="D997" s="86"/>
      <c r="E997" s="108"/>
      <c r="F997" s="109"/>
      <c r="G997" s="109"/>
    </row>
    <row r="998" spans="1:7">
      <c r="A998" s="83"/>
      <c r="B998" s="106"/>
      <c r="C998" s="107"/>
      <c r="D998" s="86"/>
      <c r="E998" s="108"/>
      <c r="F998" s="109"/>
      <c r="G998" s="109"/>
    </row>
    <row r="999" spans="1:7">
      <c r="A999" s="83"/>
      <c r="B999" s="106"/>
      <c r="C999" s="107"/>
      <c r="D999" s="86"/>
      <c r="E999" s="108"/>
      <c r="F999" s="109"/>
      <c r="G999" s="109"/>
    </row>
    <row r="1000" spans="1:7">
      <c r="A1000" s="83"/>
      <c r="B1000" s="106"/>
      <c r="C1000" s="107"/>
      <c r="D1000" s="86"/>
      <c r="E1000" s="108"/>
      <c r="F1000" s="109"/>
      <c r="G1000" s="109"/>
    </row>
    <row r="1001" spans="1:7">
      <c r="A1001" s="83"/>
      <c r="B1001" s="106"/>
      <c r="C1001" s="107"/>
      <c r="D1001" s="86"/>
      <c r="E1001" s="108"/>
      <c r="F1001" s="109"/>
      <c r="G1001" s="109"/>
    </row>
    <row r="1002" spans="1:7">
      <c r="A1002" s="83"/>
      <c r="B1002" s="106"/>
      <c r="C1002" s="107"/>
      <c r="D1002" s="86"/>
      <c r="E1002" s="108"/>
      <c r="F1002" s="109"/>
      <c r="G1002" s="109"/>
    </row>
    <row r="1003" spans="1:7">
      <c r="A1003" s="83"/>
      <c r="B1003" s="106"/>
      <c r="C1003" s="107"/>
      <c r="D1003" s="86"/>
      <c r="E1003" s="108"/>
      <c r="F1003" s="109"/>
      <c r="G1003" s="109"/>
    </row>
    <row r="1004" spans="1:7">
      <c r="A1004" s="83"/>
      <c r="B1004" s="106"/>
      <c r="C1004" s="107"/>
      <c r="D1004" s="86"/>
      <c r="E1004" s="108"/>
      <c r="F1004" s="109"/>
      <c r="G1004" s="109"/>
    </row>
    <row r="1005" spans="1:7">
      <c r="A1005" s="83"/>
      <c r="B1005" s="106"/>
      <c r="C1005" s="107"/>
      <c r="D1005" s="86"/>
      <c r="E1005" s="108"/>
      <c r="F1005" s="109"/>
      <c r="G1005" s="109"/>
    </row>
    <row r="1006" spans="1:7">
      <c r="A1006" s="83"/>
      <c r="B1006" s="106"/>
      <c r="C1006" s="107"/>
      <c r="D1006" s="86"/>
      <c r="E1006" s="108"/>
      <c r="F1006" s="109"/>
      <c r="G1006" s="109"/>
    </row>
    <row r="1007" spans="1:7">
      <c r="A1007" s="83"/>
      <c r="B1007" s="106"/>
      <c r="C1007" s="107"/>
      <c r="D1007" s="86"/>
      <c r="E1007" s="108"/>
      <c r="F1007" s="109"/>
      <c r="G1007" s="109"/>
    </row>
    <row r="1008" spans="1:7">
      <c r="A1008" s="83"/>
      <c r="B1008" s="106"/>
      <c r="C1008" s="107"/>
      <c r="D1008" s="86"/>
      <c r="E1008" s="108"/>
      <c r="F1008" s="109"/>
      <c r="G1008" s="109"/>
    </row>
    <row r="1009" spans="1:7">
      <c r="A1009" s="83"/>
      <c r="B1009" s="106"/>
      <c r="C1009" s="107"/>
      <c r="D1009" s="86"/>
      <c r="E1009" s="108"/>
      <c r="F1009" s="109"/>
      <c r="G1009" s="109"/>
    </row>
    <row r="1010" spans="1:7">
      <c r="A1010" s="83"/>
      <c r="B1010" s="106"/>
      <c r="C1010" s="107"/>
      <c r="D1010" s="86"/>
      <c r="E1010" s="108"/>
      <c r="F1010" s="109"/>
      <c r="G1010" s="109"/>
    </row>
    <row r="1011" spans="1:7">
      <c r="A1011" s="83"/>
      <c r="B1011" s="106"/>
      <c r="C1011" s="107"/>
      <c r="D1011" s="86"/>
      <c r="E1011" s="108"/>
      <c r="F1011" s="109"/>
      <c r="G1011" s="109"/>
    </row>
    <row r="1012" spans="1:7">
      <c r="A1012" s="83"/>
      <c r="B1012" s="106"/>
      <c r="C1012" s="107"/>
      <c r="D1012" s="86"/>
      <c r="E1012" s="108"/>
      <c r="F1012" s="109"/>
      <c r="G1012" s="109"/>
    </row>
    <row r="1013" spans="1:7">
      <c r="A1013" s="83"/>
      <c r="B1013" s="106"/>
      <c r="C1013" s="107"/>
      <c r="D1013" s="86"/>
      <c r="E1013" s="108"/>
      <c r="F1013" s="109"/>
      <c r="G1013" s="109"/>
    </row>
    <row r="1014" spans="1:7">
      <c r="A1014" s="83"/>
      <c r="B1014" s="106"/>
      <c r="C1014" s="107"/>
      <c r="D1014" s="86"/>
      <c r="E1014" s="108"/>
      <c r="F1014" s="109"/>
      <c r="G1014" s="109"/>
    </row>
    <row r="1015" spans="1:7">
      <c r="A1015" s="83"/>
      <c r="B1015" s="106"/>
      <c r="C1015" s="107"/>
      <c r="D1015" s="86"/>
      <c r="E1015" s="108"/>
      <c r="F1015" s="109"/>
      <c r="G1015" s="109"/>
    </row>
    <row r="1016" spans="1:7">
      <c r="A1016" s="83"/>
      <c r="B1016" s="106"/>
      <c r="C1016" s="107"/>
      <c r="D1016" s="86"/>
      <c r="E1016" s="108"/>
      <c r="F1016" s="109"/>
      <c r="G1016" s="109"/>
    </row>
    <row r="1017" spans="1:7">
      <c r="A1017" s="83"/>
      <c r="B1017" s="106"/>
      <c r="C1017" s="107"/>
      <c r="D1017" s="86"/>
      <c r="E1017" s="108"/>
      <c r="F1017" s="109"/>
      <c r="G1017" s="109"/>
    </row>
    <row r="1018" spans="1:7">
      <c r="A1018" s="83"/>
      <c r="B1018" s="106"/>
      <c r="C1018" s="107"/>
      <c r="D1018" s="86"/>
      <c r="E1018" s="108"/>
      <c r="F1018" s="109"/>
      <c r="G1018" s="109"/>
    </row>
    <row r="1019" spans="1:7">
      <c r="A1019" s="83"/>
      <c r="B1019" s="106"/>
      <c r="C1019" s="107"/>
      <c r="D1019" s="86"/>
      <c r="E1019" s="108"/>
      <c r="F1019" s="109"/>
      <c r="G1019" s="109"/>
    </row>
    <row r="1020" spans="1:7">
      <c r="A1020" s="83"/>
      <c r="B1020" s="106"/>
      <c r="C1020" s="107"/>
      <c r="D1020" s="86"/>
      <c r="E1020" s="108"/>
      <c r="F1020" s="109"/>
      <c r="G1020" s="109"/>
    </row>
    <row r="1021" spans="1:7">
      <c r="A1021" s="83"/>
      <c r="B1021" s="106"/>
      <c r="C1021" s="107"/>
      <c r="D1021" s="86"/>
      <c r="E1021" s="108"/>
      <c r="F1021" s="109"/>
      <c r="G1021" s="109"/>
    </row>
    <row r="1022" spans="1:7">
      <c r="A1022" s="83"/>
      <c r="B1022" s="106"/>
      <c r="C1022" s="107"/>
      <c r="D1022" s="86"/>
      <c r="E1022" s="108"/>
      <c r="F1022" s="109"/>
      <c r="G1022" s="109"/>
    </row>
    <row r="1023" spans="1:7">
      <c r="A1023" s="83"/>
      <c r="B1023" s="106"/>
      <c r="C1023" s="107"/>
      <c r="D1023" s="86"/>
      <c r="E1023" s="108"/>
      <c r="F1023" s="109"/>
      <c r="G1023" s="109"/>
    </row>
    <row r="1024" spans="1:7">
      <c r="A1024" s="83"/>
      <c r="B1024" s="106"/>
      <c r="C1024" s="107"/>
      <c r="D1024" s="86"/>
      <c r="E1024" s="108"/>
      <c r="F1024" s="109"/>
      <c r="G1024" s="109"/>
    </row>
    <row r="1025" spans="1:7">
      <c r="A1025" s="83"/>
      <c r="B1025" s="106"/>
      <c r="C1025" s="107"/>
      <c r="D1025" s="86"/>
      <c r="E1025" s="108"/>
      <c r="F1025" s="109"/>
      <c r="G1025" s="109"/>
    </row>
    <row r="1026" spans="1:7">
      <c r="A1026" s="83"/>
      <c r="B1026" s="106"/>
      <c r="C1026" s="107"/>
      <c r="D1026" s="86"/>
      <c r="E1026" s="108"/>
      <c r="F1026" s="109"/>
      <c r="G1026" s="109"/>
    </row>
    <row r="1027" spans="1:7">
      <c r="A1027" s="83"/>
      <c r="B1027" s="106"/>
      <c r="C1027" s="107"/>
      <c r="D1027" s="86"/>
      <c r="E1027" s="108"/>
      <c r="F1027" s="109"/>
      <c r="G1027" s="109"/>
    </row>
    <row r="1028" spans="1:7">
      <c r="A1028" s="83"/>
      <c r="B1028" s="106"/>
      <c r="C1028" s="107"/>
      <c r="D1028" s="86"/>
      <c r="E1028" s="108"/>
      <c r="F1028" s="109"/>
      <c r="G1028" s="109"/>
    </row>
    <row r="1029" spans="1:7">
      <c r="A1029" s="83"/>
      <c r="B1029" s="106"/>
      <c r="C1029" s="107"/>
      <c r="D1029" s="86"/>
      <c r="E1029" s="108"/>
      <c r="F1029" s="109"/>
      <c r="G1029" s="109"/>
    </row>
    <row r="1030" spans="1:7">
      <c r="A1030" s="83"/>
      <c r="B1030" s="106"/>
      <c r="C1030" s="107"/>
      <c r="D1030" s="86"/>
      <c r="E1030" s="108"/>
      <c r="F1030" s="109"/>
      <c r="G1030" s="109"/>
    </row>
    <row r="1031" spans="1:7">
      <c r="A1031" s="83"/>
      <c r="B1031" s="106"/>
      <c r="C1031" s="107"/>
      <c r="D1031" s="86"/>
      <c r="E1031" s="108"/>
      <c r="F1031" s="109"/>
      <c r="G1031" s="109"/>
    </row>
    <row r="1032" spans="1:7">
      <c r="A1032" s="83"/>
      <c r="B1032" s="106"/>
      <c r="C1032" s="107"/>
      <c r="D1032" s="86"/>
      <c r="E1032" s="108"/>
      <c r="F1032" s="109"/>
      <c r="G1032" s="109"/>
    </row>
    <row r="1033" spans="1:7">
      <c r="A1033" s="83"/>
      <c r="B1033" s="106"/>
      <c r="C1033" s="107"/>
      <c r="D1033" s="86"/>
      <c r="E1033" s="108"/>
      <c r="F1033" s="109"/>
      <c r="G1033" s="109"/>
    </row>
    <row r="1034" spans="1:7">
      <c r="A1034" s="83"/>
      <c r="B1034" s="106"/>
      <c r="C1034" s="107"/>
      <c r="D1034" s="86"/>
      <c r="E1034" s="108"/>
      <c r="F1034" s="109"/>
      <c r="G1034" s="109"/>
    </row>
    <row r="1035" spans="1:7">
      <c r="A1035" s="83"/>
      <c r="B1035" s="106"/>
      <c r="C1035" s="107"/>
      <c r="D1035" s="86"/>
      <c r="E1035" s="108"/>
      <c r="F1035" s="109"/>
      <c r="G1035" s="109"/>
    </row>
    <row r="1036" spans="1:7">
      <c r="A1036" s="83"/>
      <c r="B1036" s="106"/>
      <c r="C1036" s="107"/>
      <c r="D1036" s="86"/>
      <c r="E1036" s="108"/>
      <c r="F1036" s="109"/>
      <c r="G1036" s="109"/>
    </row>
    <row r="1037" spans="1:7">
      <c r="A1037" s="83"/>
      <c r="B1037" s="106"/>
      <c r="C1037" s="107"/>
      <c r="D1037" s="86"/>
      <c r="E1037" s="108"/>
      <c r="F1037" s="109"/>
      <c r="G1037" s="109"/>
    </row>
    <row r="1038" spans="1:7">
      <c r="A1038" s="83"/>
      <c r="B1038" s="106"/>
      <c r="C1038" s="107"/>
      <c r="D1038" s="86"/>
      <c r="E1038" s="108"/>
      <c r="F1038" s="109"/>
      <c r="G1038" s="109"/>
    </row>
    <row r="1039" spans="1:7">
      <c r="A1039" s="83"/>
      <c r="B1039" s="106"/>
      <c r="C1039" s="107"/>
      <c r="D1039" s="86"/>
      <c r="E1039" s="108"/>
      <c r="F1039" s="109"/>
      <c r="G1039" s="109"/>
    </row>
    <row r="1040" spans="1:7">
      <c r="A1040" s="83"/>
      <c r="B1040" s="106"/>
      <c r="C1040" s="107"/>
      <c r="D1040" s="86"/>
      <c r="E1040" s="108"/>
      <c r="F1040" s="109"/>
      <c r="G1040" s="109"/>
    </row>
    <row r="1041" spans="1:7">
      <c r="A1041" s="83"/>
      <c r="B1041" s="106"/>
      <c r="C1041" s="107"/>
      <c r="D1041" s="86"/>
      <c r="E1041" s="108"/>
      <c r="F1041" s="109"/>
      <c r="G1041" s="109"/>
    </row>
    <row r="1042" spans="1:7">
      <c r="A1042" s="83"/>
      <c r="B1042" s="106"/>
      <c r="C1042" s="107"/>
      <c r="D1042" s="86"/>
      <c r="E1042" s="108"/>
      <c r="F1042" s="109"/>
      <c r="G1042" s="109"/>
    </row>
    <row r="1043" spans="1:7">
      <c r="A1043" s="83"/>
      <c r="B1043" s="106"/>
      <c r="C1043" s="107"/>
      <c r="D1043" s="86"/>
      <c r="E1043" s="108"/>
      <c r="F1043" s="109"/>
      <c r="G1043" s="109"/>
    </row>
    <row r="1044" spans="1:7">
      <c r="A1044" s="83"/>
      <c r="B1044" s="106"/>
      <c r="C1044" s="107"/>
      <c r="D1044" s="86"/>
      <c r="E1044" s="108"/>
      <c r="F1044" s="109"/>
      <c r="G1044" s="109"/>
    </row>
    <row r="1045" spans="1:7">
      <c r="A1045" s="83"/>
      <c r="B1045" s="106"/>
      <c r="C1045" s="107"/>
      <c r="D1045" s="86"/>
      <c r="E1045" s="108"/>
      <c r="F1045" s="109"/>
      <c r="G1045" s="109"/>
    </row>
    <row r="1046" spans="1:7">
      <c r="A1046" s="83"/>
      <c r="B1046" s="106"/>
      <c r="C1046" s="107"/>
      <c r="D1046" s="86"/>
      <c r="E1046" s="108"/>
      <c r="F1046" s="109"/>
      <c r="G1046" s="109"/>
    </row>
    <row r="1047" spans="1:7">
      <c r="A1047" s="83"/>
      <c r="B1047" s="106"/>
      <c r="C1047" s="107"/>
      <c r="D1047" s="86"/>
      <c r="E1047" s="108"/>
      <c r="F1047" s="109"/>
      <c r="G1047" s="109"/>
    </row>
    <row r="1048" spans="1:7">
      <c r="A1048" s="83"/>
      <c r="B1048" s="106"/>
      <c r="C1048" s="107"/>
      <c r="D1048" s="86"/>
      <c r="E1048" s="108"/>
      <c r="F1048" s="109"/>
      <c r="G1048" s="109"/>
    </row>
    <row r="1049" spans="1:7">
      <c r="A1049" s="83"/>
      <c r="B1049" s="106"/>
      <c r="C1049" s="107"/>
      <c r="D1049" s="86"/>
      <c r="E1049" s="108"/>
      <c r="F1049" s="109"/>
      <c r="G1049" s="109"/>
    </row>
    <row r="1050" spans="1:7">
      <c r="A1050" s="83"/>
      <c r="B1050" s="106"/>
      <c r="C1050" s="107"/>
      <c r="D1050" s="86"/>
      <c r="E1050" s="108"/>
      <c r="F1050" s="109"/>
      <c r="G1050" s="109"/>
    </row>
    <row r="1051" spans="1:7">
      <c r="A1051" s="83"/>
      <c r="B1051" s="106"/>
      <c r="C1051" s="107"/>
      <c r="D1051" s="86"/>
      <c r="E1051" s="108"/>
      <c r="F1051" s="109"/>
      <c r="G1051" s="109"/>
    </row>
    <row r="1052" spans="1:7">
      <c r="A1052" s="83"/>
      <c r="B1052" s="106"/>
      <c r="C1052" s="107"/>
      <c r="D1052" s="86"/>
      <c r="E1052" s="108"/>
      <c r="F1052" s="109"/>
      <c r="G1052" s="109"/>
    </row>
    <row r="1053" spans="1:7">
      <c r="A1053" s="83"/>
      <c r="B1053" s="106"/>
      <c r="C1053" s="107"/>
      <c r="D1053" s="86"/>
      <c r="E1053" s="108"/>
      <c r="F1053" s="109"/>
      <c r="G1053" s="109"/>
    </row>
    <row r="1054" spans="1:7">
      <c r="A1054" s="83"/>
      <c r="B1054" s="106"/>
      <c r="C1054" s="107"/>
      <c r="D1054" s="86"/>
      <c r="E1054" s="108"/>
      <c r="F1054" s="109"/>
      <c r="G1054" s="109"/>
    </row>
    <row r="1055" spans="1:7">
      <c r="A1055" s="83"/>
      <c r="B1055" s="106"/>
      <c r="C1055" s="107"/>
      <c r="D1055" s="86"/>
      <c r="E1055" s="108"/>
      <c r="F1055" s="109"/>
      <c r="G1055" s="109"/>
    </row>
    <row r="1056" spans="1:7">
      <c r="A1056" s="83"/>
      <c r="B1056" s="106"/>
      <c r="C1056" s="107"/>
      <c r="D1056" s="86"/>
      <c r="E1056" s="108"/>
      <c r="F1056" s="109"/>
      <c r="G1056" s="109"/>
    </row>
    <row r="1057" spans="1:7">
      <c r="A1057" s="83"/>
      <c r="B1057" s="106"/>
      <c r="C1057" s="107"/>
      <c r="D1057" s="86"/>
      <c r="E1057" s="108"/>
      <c r="F1057" s="109"/>
      <c r="G1057" s="109"/>
    </row>
    <row r="1058" spans="1:7">
      <c r="A1058" s="83"/>
      <c r="B1058" s="106"/>
      <c r="C1058" s="107"/>
      <c r="D1058" s="86"/>
      <c r="E1058" s="108"/>
      <c r="F1058" s="109"/>
      <c r="G1058" s="109"/>
    </row>
    <row r="1059" spans="1:7">
      <c r="A1059" s="83"/>
      <c r="B1059" s="106"/>
      <c r="C1059" s="107"/>
      <c r="D1059" s="86"/>
      <c r="E1059" s="108"/>
      <c r="F1059" s="109"/>
      <c r="G1059" s="109"/>
    </row>
    <row r="1060" spans="1:7">
      <c r="A1060" s="83"/>
      <c r="B1060" s="106"/>
      <c r="C1060" s="107"/>
      <c r="D1060" s="86"/>
      <c r="E1060" s="108"/>
      <c r="F1060" s="109"/>
      <c r="G1060" s="109"/>
    </row>
    <row r="1061" spans="1:7">
      <c r="A1061" s="83"/>
      <c r="B1061" s="106"/>
      <c r="C1061" s="107"/>
      <c r="D1061" s="86"/>
      <c r="E1061" s="108"/>
      <c r="F1061" s="109"/>
      <c r="G1061" s="109"/>
    </row>
    <row r="1062" spans="1:7">
      <c r="A1062" s="83"/>
      <c r="B1062" s="106"/>
      <c r="C1062" s="107"/>
      <c r="D1062" s="86"/>
      <c r="E1062" s="108"/>
      <c r="F1062" s="109"/>
      <c r="G1062" s="109"/>
    </row>
    <row r="1063" spans="1:7">
      <c r="A1063" s="83"/>
      <c r="B1063" s="106"/>
      <c r="C1063" s="107"/>
      <c r="D1063" s="86"/>
      <c r="E1063" s="108"/>
      <c r="F1063" s="109"/>
      <c r="G1063" s="109"/>
    </row>
    <row r="1064" spans="1:7">
      <c r="A1064" s="83"/>
      <c r="B1064" s="106"/>
      <c r="C1064" s="107"/>
      <c r="D1064" s="86"/>
      <c r="E1064" s="108"/>
      <c r="F1064" s="109"/>
      <c r="G1064" s="109"/>
    </row>
    <row r="1065" spans="1:7">
      <c r="A1065" s="83"/>
      <c r="B1065" s="106"/>
      <c r="C1065" s="107"/>
      <c r="D1065" s="86"/>
      <c r="E1065" s="108"/>
      <c r="F1065" s="109"/>
      <c r="G1065" s="109"/>
    </row>
    <row r="1066" spans="1:7">
      <c r="A1066" s="83"/>
      <c r="B1066" s="106"/>
      <c r="C1066" s="107"/>
      <c r="D1066" s="86"/>
      <c r="E1066" s="108"/>
      <c r="F1066" s="109"/>
      <c r="G1066" s="109"/>
    </row>
    <row r="1067" spans="1:7">
      <c r="A1067" s="83"/>
      <c r="B1067" s="106"/>
      <c r="C1067" s="107"/>
      <c r="D1067" s="86"/>
      <c r="E1067" s="108"/>
      <c r="F1067" s="109"/>
      <c r="G1067" s="109"/>
    </row>
    <row r="1068" spans="1:7">
      <c r="A1068" s="83"/>
      <c r="B1068" s="106"/>
      <c r="C1068" s="107"/>
      <c r="D1068" s="86"/>
      <c r="E1068" s="108"/>
      <c r="F1068" s="109"/>
      <c r="G1068" s="109"/>
    </row>
    <row r="1069" spans="1:7">
      <c r="A1069" s="83"/>
      <c r="B1069" s="106"/>
      <c r="C1069" s="107"/>
      <c r="D1069" s="86"/>
      <c r="E1069" s="108"/>
      <c r="F1069" s="109"/>
      <c r="G1069" s="109"/>
    </row>
    <row r="1070" spans="1:7">
      <c r="A1070" s="83"/>
      <c r="B1070" s="106"/>
      <c r="C1070" s="107"/>
      <c r="D1070" s="86"/>
      <c r="E1070" s="108"/>
      <c r="F1070" s="109"/>
      <c r="G1070" s="109"/>
    </row>
    <row r="1071" spans="1:7">
      <c r="A1071" s="83"/>
      <c r="B1071" s="106"/>
      <c r="C1071" s="107"/>
      <c r="D1071" s="86"/>
      <c r="E1071" s="108"/>
      <c r="F1071" s="109"/>
      <c r="G1071" s="109"/>
    </row>
    <row r="1072" spans="1:7">
      <c r="A1072" s="83"/>
      <c r="B1072" s="106"/>
      <c r="C1072" s="107"/>
      <c r="D1072" s="86"/>
      <c r="E1072" s="108"/>
      <c r="F1072" s="109"/>
      <c r="G1072" s="109"/>
    </row>
    <row r="1073" spans="1:7">
      <c r="A1073" s="83"/>
      <c r="B1073" s="106"/>
      <c r="C1073" s="107"/>
      <c r="D1073" s="86"/>
      <c r="E1073" s="108"/>
      <c r="F1073" s="109"/>
      <c r="G1073" s="109"/>
    </row>
    <row r="1074" spans="1:7">
      <c r="A1074" s="83"/>
      <c r="B1074" s="106"/>
      <c r="C1074" s="107"/>
      <c r="D1074" s="86"/>
      <c r="E1074" s="108"/>
      <c r="F1074" s="109"/>
      <c r="G1074" s="109"/>
    </row>
    <row r="1075" spans="1:7">
      <c r="A1075" s="83"/>
      <c r="B1075" s="106"/>
      <c r="C1075" s="107"/>
      <c r="D1075" s="86"/>
      <c r="E1075" s="108"/>
      <c r="F1075" s="109"/>
      <c r="G1075" s="109"/>
    </row>
    <row r="1076" spans="1:7">
      <c r="A1076" s="83"/>
      <c r="B1076" s="106"/>
      <c r="C1076" s="107"/>
      <c r="D1076" s="86"/>
      <c r="E1076" s="108"/>
      <c r="F1076" s="109"/>
      <c r="G1076" s="109"/>
    </row>
    <row r="1077" spans="1:7">
      <c r="A1077" s="83"/>
      <c r="B1077" s="106"/>
      <c r="C1077" s="107"/>
      <c r="D1077" s="86"/>
      <c r="E1077" s="108"/>
      <c r="F1077" s="109"/>
      <c r="G1077" s="109"/>
    </row>
    <row r="1078" spans="1:7">
      <c r="A1078" s="83"/>
      <c r="B1078" s="106"/>
      <c r="C1078" s="107"/>
      <c r="D1078" s="86"/>
      <c r="E1078" s="108"/>
      <c r="F1078" s="109"/>
      <c r="G1078" s="109"/>
    </row>
    <row r="1079" spans="1:7">
      <c r="A1079" s="83"/>
      <c r="B1079" s="106"/>
      <c r="C1079" s="107"/>
      <c r="D1079" s="86"/>
      <c r="E1079" s="108"/>
      <c r="F1079" s="109"/>
      <c r="G1079" s="109"/>
    </row>
    <row r="1080" spans="1:7">
      <c r="A1080" s="83"/>
      <c r="B1080" s="106"/>
      <c r="C1080" s="107"/>
      <c r="D1080" s="86"/>
      <c r="E1080" s="108"/>
      <c r="F1080" s="109"/>
      <c r="G1080" s="109"/>
    </row>
    <row r="1081" spans="1:7">
      <c r="A1081" s="83"/>
      <c r="B1081" s="106"/>
      <c r="C1081" s="107"/>
      <c r="D1081" s="86"/>
      <c r="E1081" s="108"/>
      <c r="F1081" s="109"/>
      <c r="G1081" s="109"/>
    </row>
    <row r="1082" spans="1:7">
      <c r="A1082" s="83"/>
      <c r="B1082" s="106"/>
      <c r="C1082" s="107"/>
      <c r="D1082" s="86"/>
      <c r="E1082" s="108"/>
      <c r="F1082" s="109"/>
      <c r="G1082" s="109"/>
    </row>
    <row r="1083" spans="1:7">
      <c r="A1083" s="83"/>
      <c r="B1083" s="106"/>
      <c r="C1083" s="107"/>
      <c r="D1083" s="86"/>
      <c r="E1083" s="108"/>
      <c r="F1083" s="109"/>
      <c r="G1083" s="109"/>
    </row>
    <row r="1084" spans="1:7">
      <c r="A1084" s="83"/>
      <c r="B1084" s="106"/>
      <c r="C1084" s="107"/>
      <c r="D1084" s="86"/>
      <c r="E1084" s="108"/>
      <c r="F1084" s="109"/>
      <c r="G1084" s="109"/>
    </row>
    <row r="1085" spans="1:7">
      <c r="A1085" s="83"/>
      <c r="B1085" s="106"/>
      <c r="C1085" s="107"/>
      <c r="D1085" s="86"/>
      <c r="E1085" s="108"/>
      <c r="F1085" s="109"/>
      <c r="G1085" s="109"/>
    </row>
    <row r="1086" spans="1:7">
      <c r="A1086" s="83"/>
      <c r="B1086" s="106"/>
      <c r="C1086" s="107"/>
      <c r="D1086" s="86"/>
      <c r="E1086" s="108"/>
      <c r="F1086" s="109"/>
      <c r="G1086" s="109"/>
    </row>
    <row r="1087" spans="1:7">
      <c r="A1087" s="83"/>
      <c r="B1087" s="106"/>
      <c r="C1087" s="107"/>
      <c r="D1087" s="86"/>
      <c r="E1087" s="108"/>
      <c r="F1087" s="109"/>
      <c r="G1087" s="109"/>
    </row>
    <row r="1088" spans="1:7">
      <c r="A1088" s="83"/>
      <c r="B1088" s="106"/>
      <c r="C1088" s="107"/>
      <c r="D1088" s="86"/>
      <c r="E1088" s="108"/>
      <c r="F1088" s="109"/>
      <c r="G1088" s="109"/>
    </row>
    <row r="1089" spans="1:7">
      <c r="A1089" s="83"/>
      <c r="B1089" s="106"/>
      <c r="C1089" s="107"/>
      <c r="D1089" s="86"/>
      <c r="E1089" s="108"/>
      <c r="F1089" s="109"/>
      <c r="G1089" s="109"/>
    </row>
    <row r="1090" spans="1:7">
      <c r="A1090" s="83"/>
      <c r="B1090" s="106"/>
      <c r="C1090" s="107"/>
      <c r="D1090" s="86"/>
      <c r="E1090" s="108"/>
      <c r="F1090" s="109"/>
      <c r="G1090" s="109"/>
    </row>
    <row r="1091" spans="1:7">
      <c r="A1091" s="83"/>
      <c r="B1091" s="106"/>
      <c r="C1091" s="107"/>
      <c r="D1091" s="86"/>
      <c r="E1091" s="108"/>
      <c r="F1091" s="109"/>
      <c r="G1091" s="109"/>
    </row>
    <row r="1092" spans="1:7">
      <c r="A1092" s="83"/>
      <c r="B1092" s="106"/>
      <c r="C1092" s="107"/>
      <c r="D1092" s="86"/>
      <c r="E1092" s="108"/>
      <c r="F1092" s="109"/>
      <c r="G1092" s="109"/>
    </row>
    <row r="1093" spans="1:7">
      <c r="A1093" s="83"/>
      <c r="B1093" s="106"/>
      <c r="C1093" s="107"/>
      <c r="D1093" s="86"/>
      <c r="E1093" s="108"/>
      <c r="F1093" s="109"/>
      <c r="G1093" s="109"/>
    </row>
    <row r="1094" spans="1:7">
      <c r="A1094" s="83"/>
      <c r="B1094" s="106"/>
      <c r="C1094" s="107"/>
      <c r="D1094" s="86"/>
      <c r="E1094" s="108"/>
      <c r="F1094" s="109"/>
      <c r="G1094" s="109"/>
    </row>
    <row r="1095" spans="1:7">
      <c r="A1095" s="83"/>
      <c r="B1095" s="106"/>
      <c r="C1095" s="107"/>
      <c r="D1095" s="86"/>
      <c r="E1095" s="108"/>
      <c r="F1095" s="109"/>
      <c r="G1095" s="109"/>
    </row>
    <row r="1096" spans="1:7">
      <c r="A1096" s="83"/>
      <c r="B1096" s="106"/>
      <c r="C1096" s="107"/>
      <c r="D1096" s="86"/>
      <c r="E1096" s="108"/>
      <c r="F1096" s="109"/>
      <c r="G1096" s="109"/>
    </row>
    <row r="1097" spans="1:7">
      <c r="A1097" s="83"/>
      <c r="B1097" s="106"/>
      <c r="C1097" s="107"/>
      <c r="D1097" s="86"/>
      <c r="E1097" s="108"/>
      <c r="F1097" s="109"/>
      <c r="G1097" s="109"/>
    </row>
    <row r="1098" spans="1:7">
      <c r="A1098" s="83"/>
      <c r="B1098" s="106"/>
      <c r="C1098" s="107"/>
      <c r="D1098" s="86"/>
      <c r="E1098" s="108"/>
      <c r="F1098" s="109"/>
      <c r="G1098" s="109"/>
    </row>
    <row r="1099" spans="1:7">
      <c r="A1099" s="83"/>
      <c r="B1099" s="106"/>
      <c r="C1099" s="107"/>
      <c r="D1099" s="86"/>
      <c r="E1099" s="108"/>
      <c r="F1099" s="109"/>
      <c r="G1099" s="109"/>
    </row>
    <row r="1100" spans="1:7">
      <c r="A1100" s="83"/>
      <c r="B1100" s="106"/>
      <c r="C1100" s="107"/>
      <c r="D1100" s="86"/>
      <c r="E1100" s="108"/>
      <c r="F1100" s="109"/>
      <c r="G1100" s="109"/>
    </row>
    <row r="1101" spans="1:7">
      <c r="A1101" s="83"/>
      <c r="B1101" s="106"/>
      <c r="C1101" s="107"/>
      <c r="D1101" s="86"/>
      <c r="E1101" s="108"/>
      <c r="F1101" s="109"/>
      <c r="G1101" s="109"/>
    </row>
    <row r="1102" spans="1:7">
      <c r="A1102" s="83"/>
      <c r="B1102" s="106"/>
      <c r="C1102" s="107"/>
      <c r="D1102" s="86"/>
      <c r="E1102" s="108"/>
      <c r="F1102" s="109"/>
      <c r="G1102" s="109"/>
    </row>
    <row r="1103" spans="1:7">
      <c r="A1103" s="83"/>
      <c r="B1103" s="106"/>
      <c r="C1103" s="107"/>
      <c r="D1103" s="86"/>
      <c r="E1103" s="108"/>
      <c r="F1103" s="109"/>
      <c r="G1103" s="109"/>
    </row>
    <row r="1104" spans="1:7">
      <c r="A1104" s="83"/>
      <c r="B1104" s="106"/>
      <c r="C1104" s="107"/>
      <c r="D1104" s="86"/>
      <c r="E1104" s="108"/>
      <c r="F1104" s="109"/>
      <c r="G1104" s="109"/>
    </row>
    <row r="1105" spans="1:7">
      <c r="A1105" s="83"/>
      <c r="B1105" s="106"/>
      <c r="C1105" s="107"/>
      <c r="D1105" s="86"/>
      <c r="E1105" s="108"/>
      <c r="F1105" s="109"/>
      <c r="G1105" s="109"/>
    </row>
    <row r="1106" spans="1:7">
      <c r="A1106" s="83"/>
      <c r="B1106" s="106"/>
      <c r="C1106" s="107"/>
      <c r="D1106" s="86"/>
      <c r="E1106" s="108"/>
      <c r="F1106" s="109"/>
      <c r="G1106" s="109"/>
    </row>
    <row r="1107" spans="1:7">
      <c r="A1107" s="83"/>
      <c r="B1107" s="106"/>
      <c r="C1107" s="107"/>
      <c r="D1107" s="86"/>
      <c r="E1107" s="108"/>
      <c r="F1107" s="109"/>
      <c r="G1107" s="109"/>
    </row>
    <row r="1108" spans="1:7">
      <c r="A1108" s="83"/>
      <c r="B1108" s="106"/>
      <c r="C1108" s="107"/>
      <c r="D1108" s="86"/>
      <c r="E1108" s="108"/>
      <c r="F1108" s="109"/>
      <c r="G1108" s="109"/>
    </row>
    <row r="1109" spans="1:7">
      <c r="A1109" s="83"/>
      <c r="B1109" s="106"/>
      <c r="C1109" s="107"/>
      <c r="D1109" s="86"/>
      <c r="E1109" s="108"/>
      <c r="F1109" s="109"/>
      <c r="G1109" s="109"/>
    </row>
    <row r="1110" spans="1:7">
      <c r="A1110" s="83"/>
      <c r="B1110" s="106"/>
      <c r="C1110" s="107"/>
      <c r="D1110" s="86"/>
      <c r="E1110" s="108"/>
      <c r="F1110" s="109"/>
      <c r="G1110" s="109"/>
    </row>
    <row r="1111" spans="1:7">
      <c r="A1111" s="83"/>
      <c r="B1111" s="106"/>
      <c r="C1111" s="107"/>
      <c r="D1111" s="86"/>
      <c r="E1111" s="108"/>
      <c r="F1111" s="109"/>
      <c r="G1111" s="109"/>
    </row>
    <row r="1112" spans="1:7">
      <c r="A1112" s="83"/>
      <c r="B1112" s="106"/>
      <c r="C1112" s="107"/>
      <c r="D1112" s="86"/>
      <c r="E1112" s="108"/>
      <c r="F1112" s="109"/>
      <c r="G1112" s="109"/>
    </row>
    <row r="1113" spans="1:7">
      <c r="A1113" s="83"/>
      <c r="B1113" s="106"/>
      <c r="C1113" s="107"/>
      <c r="D1113" s="86"/>
      <c r="E1113" s="108"/>
      <c r="F1113" s="109"/>
      <c r="G1113" s="109"/>
    </row>
    <row r="1114" spans="1:7">
      <c r="A1114" s="83"/>
      <c r="B1114" s="106"/>
      <c r="C1114" s="107"/>
      <c r="D1114" s="86"/>
      <c r="E1114" s="108"/>
      <c r="F1114" s="109"/>
      <c r="G1114" s="109"/>
    </row>
    <row r="1115" spans="1:7">
      <c r="A1115" s="83"/>
      <c r="B1115" s="106"/>
      <c r="C1115" s="107"/>
      <c r="D1115" s="86"/>
      <c r="E1115" s="108"/>
      <c r="F1115" s="109"/>
      <c r="G1115" s="109"/>
    </row>
    <row r="1116" spans="1:7">
      <c r="A1116" s="83"/>
      <c r="B1116" s="106"/>
      <c r="C1116" s="107"/>
      <c r="D1116" s="86"/>
      <c r="E1116" s="108"/>
      <c r="F1116" s="109"/>
      <c r="G1116" s="109"/>
    </row>
    <row r="1117" spans="1:7">
      <c r="A1117" s="83"/>
      <c r="B1117" s="106"/>
      <c r="C1117" s="107"/>
      <c r="D1117" s="86"/>
      <c r="E1117" s="108"/>
      <c r="F1117" s="109"/>
      <c r="G1117" s="109"/>
    </row>
    <row r="1118" spans="1:7">
      <c r="A1118" s="83"/>
      <c r="B1118" s="106"/>
      <c r="C1118" s="107"/>
      <c r="D1118" s="86"/>
      <c r="E1118" s="108"/>
      <c r="F1118" s="109"/>
      <c r="G1118" s="109"/>
    </row>
    <row r="1119" spans="1:7">
      <c r="A1119" s="83"/>
      <c r="B1119" s="106"/>
      <c r="C1119" s="107"/>
      <c r="D1119" s="86"/>
      <c r="E1119" s="108"/>
      <c r="F1119" s="109"/>
      <c r="G1119" s="109"/>
    </row>
    <row r="1120" spans="1:7">
      <c r="A1120" s="83"/>
      <c r="B1120" s="106"/>
      <c r="C1120" s="107"/>
      <c r="D1120" s="86"/>
      <c r="E1120" s="108"/>
      <c r="F1120" s="109"/>
      <c r="G1120" s="109"/>
    </row>
    <row r="1121" spans="1:7">
      <c r="A1121" s="83"/>
      <c r="B1121" s="106"/>
      <c r="C1121" s="107"/>
      <c r="D1121" s="86"/>
      <c r="E1121" s="108"/>
      <c r="F1121" s="109"/>
      <c r="G1121" s="109"/>
    </row>
    <row r="1122" spans="1:7">
      <c r="A1122" s="83"/>
      <c r="B1122" s="106"/>
      <c r="C1122" s="107"/>
      <c r="D1122" s="86"/>
      <c r="E1122" s="108"/>
      <c r="F1122" s="109"/>
      <c r="G1122" s="109"/>
    </row>
    <row r="1123" spans="1:7">
      <c r="A1123" s="83"/>
      <c r="B1123" s="106"/>
      <c r="C1123" s="107"/>
      <c r="D1123" s="86"/>
      <c r="E1123" s="108"/>
      <c r="F1123" s="109"/>
      <c r="G1123" s="109"/>
    </row>
    <row r="1124" spans="1:7">
      <c r="A1124" s="83"/>
      <c r="B1124" s="106"/>
      <c r="C1124" s="107"/>
      <c r="D1124" s="86"/>
      <c r="E1124" s="108"/>
      <c r="F1124" s="109"/>
      <c r="G1124" s="109"/>
    </row>
    <row r="1125" spans="1:7">
      <c r="A1125" s="83"/>
      <c r="B1125" s="106"/>
      <c r="C1125" s="107"/>
      <c r="D1125" s="86"/>
      <c r="E1125" s="108"/>
      <c r="F1125" s="109"/>
      <c r="G1125" s="109"/>
    </row>
    <row r="1126" spans="1:7">
      <c r="A1126" s="83"/>
      <c r="B1126" s="106"/>
      <c r="C1126" s="107"/>
      <c r="D1126" s="86"/>
      <c r="E1126" s="108"/>
      <c r="F1126" s="109"/>
      <c r="G1126" s="109"/>
    </row>
    <row r="1127" spans="1:7">
      <c r="A1127" s="83"/>
      <c r="B1127" s="106"/>
      <c r="C1127" s="107"/>
      <c r="D1127" s="86"/>
      <c r="E1127" s="108"/>
      <c r="F1127" s="109"/>
      <c r="G1127" s="109"/>
    </row>
    <row r="1128" spans="1:7">
      <c r="A1128" s="83"/>
      <c r="B1128" s="106"/>
      <c r="C1128" s="107"/>
      <c r="D1128" s="86"/>
      <c r="E1128" s="108"/>
      <c r="F1128" s="109"/>
      <c r="G1128" s="109"/>
    </row>
    <row r="1129" spans="1:7">
      <c r="A1129" s="83"/>
      <c r="B1129" s="106"/>
      <c r="C1129" s="107"/>
      <c r="D1129" s="86"/>
      <c r="E1129" s="108"/>
      <c r="F1129" s="109"/>
      <c r="G1129" s="109"/>
    </row>
    <row r="1130" spans="1:7">
      <c r="A1130" s="83"/>
      <c r="B1130" s="106"/>
      <c r="C1130" s="107"/>
      <c r="D1130" s="86"/>
      <c r="E1130" s="108"/>
      <c r="F1130" s="109"/>
      <c r="G1130" s="109"/>
    </row>
    <row r="1131" spans="1:7">
      <c r="A1131" s="83"/>
      <c r="B1131" s="106"/>
      <c r="C1131" s="107"/>
      <c r="D1131" s="86"/>
      <c r="E1131" s="108"/>
      <c r="F1131" s="109"/>
      <c r="G1131" s="109"/>
    </row>
    <row r="1132" spans="1:7">
      <c r="A1132" s="83"/>
      <c r="B1132" s="106"/>
      <c r="C1132" s="107"/>
      <c r="D1132" s="86"/>
      <c r="E1132" s="108"/>
      <c r="F1132" s="109"/>
      <c r="G1132" s="109"/>
    </row>
    <row r="1133" spans="1:7">
      <c r="A1133" s="83"/>
      <c r="B1133" s="106"/>
      <c r="C1133" s="107"/>
      <c r="D1133" s="86"/>
      <c r="E1133" s="108"/>
      <c r="F1133" s="109"/>
      <c r="G1133" s="109"/>
    </row>
    <row r="1134" spans="1:7">
      <c r="A1134" s="83"/>
      <c r="B1134" s="106"/>
      <c r="C1134" s="107"/>
      <c r="D1134" s="86"/>
      <c r="E1134" s="108"/>
      <c r="F1134" s="109"/>
      <c r="G1134" s="109"/>
    </row>
    <row r="1135" spans="1:7">
      <c r="A1135" s="83"/>
      <c r="B1135" s="106"/>
      <c r="C1135" s="107"/>
      <c r="D1135" s="86"/>
      <c r="E1135" s="108"/>
      <c r="F1135" s="109"/>
      <c r="G1135" s="109"/>
    </row>
    <row r="1136" spans="1:7">
      <c r="A1136" s="83"/>
      <c r="B1136" s="106"/>
      <c r="C1136" s="107"/>
      <c r="D1136" s="86"/>
      <c r="E1136" s="108"/>
      <c r="F1136" s="109"/>
      <c r="G1136" s="109"/>
    </row>
    <row r="1137" spans="1:7">
      <c r="A1137" s="83"/>
      <c r="B1137" s="106"/>
      <c r="C1137" s="107"/>
      <c r="D1137" s="86"/>
      <c r="E1137" s="108"/>
      <c r="F1137" s="109"/>
      <c r="G1137" s="109"/>
    </row>
    <row r="1138" spans="1:7">
      <c r="A1138" s="83"/>
      <c r="B1138" s="106"/>
      <c r="C1138" s="107"/>
      <c r="D1138" s="86"/>
      <c r="E1138" s="108"/>
      <c r="F1138" s="109"/>
      <c r="G1138" s="109"/>
    </row>
    <row r="1139" spans="1:7">
      <c r="A1139" s="83"/>
      <c r="B1139" s="106"/>
      <c r="C1139" s="107"/>
      <c r="D1139" s="86"/>
      <c r="E1139" s="108"/>
      <c r="F1139" s="109"/>
      <c r="G1139" s="109"/>
    </row>
    <row r="1140" spans="1:7">
      <c r="A1140" s="83"/>
      <c r="B1140" s="106"/>
      <c r="C1140" s="107"/>
      <c r="D1140" s="86"/>
      <c r="E1140" s="108"/>
      <c r="F1140" s="109"/>
      <c r="G1140" s="109"/>
    </row>
    <row r="1141" spans="1:7">
      <c r="A1141" s="83"/>
      <c r="B1141" s="106"/>
      <c r="C1141" s="107"/>
      <c r="D1141" s="86"/>
      <c r="E1141" s="108"/>
      <c r="F1141" s="109"/>
      <c r="G1141" s="109"/>
    </row>
    <row r="1142" spans="1:7">
      <c r="A1142" s="83"/>
      <c r="B1142" s="106"/>
      <c r="C1142" s="107"/>
      <c r="D1142" s="86"/>
      <c r="E1142" s="108"/>
      <c r="F1142" s="109"/>
      <c r="G1142" s="109"/>
    </row>
    <row r="1143" spans="1:7">
      <c r="A1143" s="83"/>
      <c r="B1143" s="106"/>
      <c r="C1143" s="107"/>
      <c r="D1143" s="86"/>
      <c r="E1143" s="108"/>
      <c r="F1143" s="109"/>
      <c r="G1143" s="109"/>
    </row>
    <row r="1144" spans="1:7">
      <c r="A1144" s="83"/>
      <c r="B1144" s="106"/>
      <c r="C1144" s="107"/>
      <c r="D1144" s="86"/>
      <c r="E1144" s="108"/>
      <c r="F1144" s="109"/>
      <c r="G1144" s="109"/>
    </row>
    <row r="1145" spans="1:7">
      <c r="A1145" s="83"/>
      <c r="B1145" s="106"/>
      <c r="C1145" s="107"/>
      <c r="D1145" s="86"/>
      <c r="E1145" s="108"/>
      <c r="F1145" s="109"/>
      <c r="G1145" s="109"/>
    </row>
    <row r="1146" spans="1:7">
      <c r="A1146" s="83"/>
      <c r="B1146" s="106"/>
      <c r="C1146" s="107"/>
      <c r="D1146" s="86"/>
      <c r="E1146" s="108"/>
      <c r="F1146" s="109"/>
      <c r="G1146" s="109"/>
    </row>
    <row r="1147" spans="1:7">
      <c r="A1147" s="83"/>
      <c r="B1147" s="106"/>
      <c r="C1147" s="107"/>
      <c r="D1147" s="86"/>
      <c r="E1147" s="108"/>
      <c r="F1147" s="109"/>
      <c r="G1147" s="109"/>
    </row>
    <row r="1148" spans="1:7">
      <c r="A1148" s="83"/>
      <c r="B1148" s="106"/>
      <c r="C1148" s="107"/>
      <c r="D1148" s="86"/>
      <c r="E1148" s="108"/>
      <c r="F1148" s="109"/>
      <c r="G1148" s="109"/>
    </row>
    <row r="1149" spans="1:7">
      <c r="A1149" s="83"/>
      <c r="B1149" s="106"/>
      <c r="C1149" s="107"/>
      <c r="D1149" s="86"/>
      <c r="E1149" s="108"/>
      <c r="F1149" s="109"/>
      <c r="G1149" s="109"/>
    </row>
    <row r="1150" spans="1:7">
      <c r="A1150" s="83"/>
      <c r="B1150" s="106"/>
      <c r="C1150" s="107"/>
      <c r="D1150" s="86"/>
      <c r="E1150" s="108"/>
      <c r="F1150" s="109"/>
      <c r="G1150" s="109"/>
    </row>
    <row r="1151" spans="1:7">
      <c r="A1151" s="83"/>
      <c r="B1151" s="106"/>
      <c r="C1151" s="107"/>
      <c r="D1151" s="86"/>
      <c r="E1151" s="108"/>
      <c r="F1151" s="109"/>
      <c r="G1151" s="109"/>
    </row>
    <row r="1152" spans="1:7">
      <c r="A1152" s="83"/>
      <c r="B1152" s="106"/>
      <c r="C1152" s="107"/>
      <c r="D1152" s="86"/>
      <c r="E1152" s="108"/>
      <c r="F1152" s="109"/>
      <c r="G1152" s="109"/>
    </row>
    <row r="1153" spans="1:7">
      <c r="A1153" s="83"/>
      <c r="B1153" s="106"/>
      <c r="C1153" s="107"/>
      <c r="D1153" s="86"/>
      <c r="E1153" s="108"/>
      <c r="F1153" s="109"/>
      <c r="G1153" s="109"/>
    </row>
    <row r="1154" spans="1:7">
      <c r="A1154" s="83"/>
      <c r="B1154" s="106"/>
      <c r="C1154" s="107"/>
      <c r="D1154" s="86"/>
      <c r="E1154" s="108"/>
      <c r="F1154" s="109"/>
      <c r="G1154" s="109"/>
    </row>
    <row r="1155" spans="1:7">
      <c r="A1155" s="83"/>
      <c r="B1155" s="106"/>
      <c r="C1155" s="107"/>
      <c r="D1155" s="86"/>
      <c r="E1155" s="108"/>
      <c r="F1155" s="109"/>
      <c r="G1155" s="109"/>
    </row>
    <row r="1156" spans="1:7">
      <c r="A1156" s="83"/>
      <c r="B1156" s="106"/>
      <c r="C1156" s="107"/>
      <c r="D1156" s="86"/>
      <c r="E1156" s="108"/>
      <c r="F1156" s="109"/>
      <c r="G1156" s="109"/>
    </row>
    <row r="1157" spans="1:7">
      <c r="A1157" s="83"/>
      <c r="B1157" s="106"/>
      <c r="C1157" s="107"/>
      <c r="D1157" s="86"/>
      <c r="E1157" s="108"/>
      <c r="F1157" s="109"/>
      <c r="G1157" s="109"/>
    </row>
    <row r="1158" spans="1:7">
      <c r="A1158" s="83"/>
      <c r="B1158" s="106"/>
      <c r="C1158" s="107"/>
      <c r="D1158" s="86"/>
      <c r="E1158" s="108"/>
      <c r="F1158" s="109"/>
      <c r="G1158" s="109"/>
    </row>
    <row r="1159" spans="1:7">
      <c r="A1159" s="83"/>
      <c r="B1159" s="106"/>
      <c r="C1159" s="107"/>
      <c r="D1159" s="86"/>
      <c r="E1159" s="108"/>
      <c r="F1159" s="109"/>
      <c r="G1159" s="109"/>
    </row>
    <row r="1160" spans="1:7">
      <c r="A1160" s="83"/>
      <c r="B1160" s="106"/>
      <c r="C1160" s="107"/>
      <c r="D1160" s="86"/>
      <c r="E1160" s="108"/>
      <c r="F1160" s="109"/>
      <c r="G1160" s="109"/>
    </row>
    <row r="1161" spans="1:7">
      <c r="A1161" s="83"/>
      <c r="B1161" s="106"/>
      <c r="C1161" s="107"/>
      <c r="D1161" s="86"/>
      <c r="E1161" s="108"/>
      <c r="F1161" s="109"/>
      <c r="G1161" s="109"/>
    </row>
    <row r="1162" spans="1:7">
      <c r="A1162" s="83"/>
      <c r="B1162" s="106"/>
      <c r="C1162" s="107"/>
      <c r="D1162" s="86"/>
      <c r="E1162" s="108"/>
      <c r="F1162" s="109"/>
      <c r="G1162" s="109"/>
    </row>
    <row r="1163" spans="1:7">
      <c r="A1163" s="83"/>
      <c r="B1163" s="106"/>
      <c r="C1163" s="107"/>
      <c r="D1163" s="86"/>
      <c r="E1163" s="108"/>
      <c r="F1163" s="109"/>
      <c r="G1163" s="109"/>
    </row>
    <row r="1164" spans="1:7">
      <c r="A1164" s="83"/>
      <c r="B1164" s="106"/>
      <c r="C1164" s="107"/>
      <c r="D1164" s="86"/>
      <c r="E1164" s="108"/>
      <c r="F1164" s="109"/>
      <c r="G1164" s="109"/>
    </row>
    <row r="1165" spans="1:7">
      <c r="A1165" s="83"/>
      <c r="B1165" s="106"/>
      <c r="C1165" s="107"/>
      <c r="D1165" s="86"/>
      <c r="E1165" s="108"/>
      <c r="F1165" s="109"/>
      <c r="G1165" s="109"/>
    </row>
    <row r="1166" spans="1:7">
      <c r="A1166" s="83"/>
      <c r="B1166" s="106"/>
      <c r="C1166" s="107"/>
      <c r="D1166" s="86"/>
      <c r="E1166" s="108"/>
      <c r="F1166" s="109"/>
      <c r="G1166" s="109"/>
    </row>
    <row r="1167" spans="1:7">
      <c r="A1167" s="83"/>
      <c r="B1167" s="106"/>
      <c r="C1167" s="107"/>
      <c r="D1167" s="86"/>
      <c r="E1167" s="108"/>
      <c r="F1167" s="109"/>
      <c r="G1167" s="109"/>
    </row>
    <row r="1168" spans="1:7">
      <c r="A1168" s="83"/>
      <c r="B1168" s="106"/>
      <c r="C1168" s="107"/>
      <c r="D1168" s="86"/>
      <c r="E1168" s="108"/>
      <c r="F1168" s="109"/>
      <c r="G1168" s="109"/>
    </row>
    <row r="1169" spans="1:7">
      <c r="A1169" s="83"/>
      <c r="B1169" s="106"/>
      <c r="C1169" s="107"/>
      <c r="D1169" s="86"/>
      <c r="E1169" s="108"/>
      <c r="F1169" s="109"/>
      <c r="G1169" s="109"/>
    </row>
    <row r="1170" spans="1:7">
      <c r="A1170" s="83"/>
      <c r="B1170" s="106"/>
      <c r="C1170" s="107"/>
      <c r="D1170" s="86"/>
      <c r="E1170" s="108"/>
      <c r="F1170" s="109"/>
      <c r="G1170" s="109"/>
    </row>
    <row r="1171" spans="1:7">
      <c r="A1171" s="83"/>
      <c r="B1171" s="106"/>
      <c r="C1171" s="107"/>
      <c r="D1171" s="86"/>
      <c r="E1171" s="108"/>
      <c r="F1171" s="109"/>
      <c r="G1171" s="109"/>
    </row>
    <row r="1172" spans="1:7">
      <c r="A1172" s="83"/>
      <c r="B1172" s="106"/>
      <c r="C1172" s="107"/>
      <c r="D1172" s="86"/>
      <c r="E1172" s="108"/>
      <c r="F1172" s="109"/>
      <c r="G1172" s="109"/>
    </row>
    <row r="1173" spans="1:7">
      <c r="A1173" s="83"/>
      <c r="B1173" s="106"/>
      <c r="C1173" s="107"/>
      <c r="D1173" s="86"/>
      <c r="E1173" s="108"/>
      <c r="F1173" s="109"/>
      <c r="G1173" s="109"/>
    </row>
    <row r="1174" spans="1:7">
      <c r="A1174" s="83"/>
      <c r="B1174" s="106"/>
      <c r="C1174" s="107"/>
      <c r="D1174" s="86"/>
      <c r="E1174" s="108"/>
      <c r="F1174" s="109"/>
      <c r="G1174" s="109"/>
    </row>
    <row r="1175" spans="1:7">
      <c r="A1175" s="83"/>
      <c r="B1175" s="106"/>
      <c r="C1175" s="107"/>
      <c r="D1175" s="86"/>
      <c r="E1175" s="108"/>
      <c r="F1175" s="109"/>
      <c r="G1175" s="109"/>
    </row>
    <row r="1176" spans="1:7">
      <c r="A1176" s="83"/>
      <c r="B1176" s="106"/>
      <c r="C1176" s="107"/>
      <c r="D1176" s="86"/>
      <c r="E1176" s="108"/>
      <c r="F1176" s="109"/>
      <c r="G1176" s="109"/>
    </row>
    <row r="1177" spans="1:7">
      <c r="A1177" s="83"/>
      <c r="B1177" s="106"/>
      <c r="C1177" s="107"/>
      <c r="D1177" s="86"/>
      <c r="E1177" s="108"/>
      <c r="F1177" s="109"/>
      <c r="G1177" s="109"/>
    </row>
    <row r="1178" spans="1:7">
      <c r="A1178" s="83"/>
      <c r="B1178" s="106"/>
      <c r="C1178" s="107"/>
      <c r="D1178" s="86"/>
      <c r="E1178" s="108"/>
      <c r="F1178" s="109"/>
      <c r="G1178" s="109"/>
    </row>
    <row r="1179" spans="1:7">
      <c r="A1179" s="83"/>
      <c r="B1179" s="106"/>
      <c r="C1179" s="107"/>
      <c r="D1179" s="86"/>
      <c r="E1179" s="108"/>
      <c r="F1179" s="109"/>
      <c r="G1179" s="109"/>
    </row>
    <row r="1180" spans="1:7">
      <c r="A1180" s="83"/>
      <c r="B1180" s="106"/>
      <c r="C1180" s="107"/>
      <c r="D1180" s="86"/>
      <c r="E1180" s="108"/>
      <c r="F1180" s="109"/>
      <c r="G1180" s="109"/>
    </row>
    <row r="1181" spans="1:7">
      <c r="A1181" s="83"/>
      <c r="B1181" s="106"/>
      <c r="C1181" s="107"/>
      <c r="D1181" s="86"/>
      <c r="E1181" s="108"/>
      <c r="F1181" s="109"/>
      <c r="G1181" s="109"/>
    </row>
    <row r="1182" spans="1:7">
      <c r="A1182" s="83"/>
      <c r="B1182" s="106"/>
      <c r="C1182" s="107"/>
      <c r="D1182" s="86"/>
      <c r="E1182" s="108"/>
      <c r="F1182" s="109"/>
      <c r="G1182" s="109"/>
    </row>
    <row r="1183" spans="1:7">
      <c r="A1183" s="83"/>
      <c r="B1183" s="106"/>
      <c r="C1183" s="107"/>
      <c r="D1183" s="86"/>
      <c r="E1183" s="108"/>
      <c r="F1183" s="109"/>
      <c r="G1183" s="109"/>
    </row>
    <row r="1184" spans="1:7">
      <c r="A1184" s="83"/>
      <c r="B1184" s="106"/>
      <c r="C1184" s="107"/>
      <c r="D1184" s="86"/>
      <c r="E1184" s="108"/>
      <c r="F1184" s="109"/>
      <c r="G1184" s="109"/>
    </row>
    <row r="1185" spans="1:7">
      <c r="A1185" s="83"/>
      <c r="B1185" s="106"/>
      <c r="C1185" s="107"/>
      <c r="D1185" s="86"/>
      <c r="E1185" s="108"/>
      <c r="F1185" s="109"/>
      <c r="G1185" s="109"/>
    </row>
    <row r="1186" spans="1:7">
      <c r="A1186" s="83"/>
      <c r="B1186" s="106"/>
      <c r="C1186" s="107"/>
      <c r="D1186" s="86"/>
      <c r="E1186" s="108"/>
      <c r="F1186" s="109"/>
      <c r="G1186" s="109"/>
    </row>
    <row r="1187" spans="1:7">
      <c r="A1187" s="83"/>
      <c r="B1187" s="106"/>
      <c r="C1187" s="107"/>
      <c r="D1187" s="86"/>
      <c r="E1187" s="108"/>
      <c r="F1187" s="109"/>
      <c r="G1187" s="109"/>
    </row>
    <row r="1188" spans="1:7">
      <c r="A1188" s="83"/>
      <c r="B1188" s="106"/>
      <c r="C1188" s="107"/>
      <c r="D1188" s="86"/>
      <c r="E1188" s="108"/>
      <c r="F1188" s="109"/>
      <c r="G1188" s="109"/>
    </row>
    <row r="1189" spans="1:7">
      <c r="A1189" s="83"/>
      <c r="B1189" s="106"/>
      <c r="C1189" s="107"/>
      <c r="D1189" s="86"/>
      <c r="E1189" s="108"/>
      <c r="F1189" s="109"/>
      <c r="G1189" s="109"/>
    </row>
    <row r="1190" spans="1:7">
      <c r="A1190" s="83"/>
      <c r="B1190" s="106"/>
      <c r="C1190" s="107"/>
      <c r="D1190" s="86"/>
      <c r="E1190" s="108"/>
      <c r="F1190" s="109"/>
      <c r="G1190" s="109"/>
    </row>
    <row r="1191" spans="1:7">
      <c r="A1191" s="83"/>
      <c r="B1191" s="106"/>
      <c r="C1191" s="107"/>
      <c r="D1191" s="86"/>
      <c r="E1191" s="108"/>
      <c r="F1191" s="109"/>
      <c r="G1191" s="109"/>
    </row>
    <row r="1192" spans="1:7">
      <c r="A1192" s="83"/>
      <c r="B1192" s="106"/>
      <c r="C1192" s="107"/>
      <c r="D1192" s="86"/>
      <c r="E1192" s="108"/>
      <c r="F1192" s="109"/>
      <c r="G1192" s="109"/>
    </row>
    <row r="1193" spans="1:7">
      <c r="A1193" s="83"/>
      <c r="B1193" s="106"/>
      <c r="C1193" s="107"/>
      <c r="D1193" s="86"/>
      <c r="E1193" s="108"/>
      <c r="F1193" s="109"/>
      <c r="G1193" s="109"/>
    </row>
    <row r="1194" spans="1:7">
      <c r="A1194" s="83"/>
      <c r="B1194" s="106"/>
      <c r="C1194" s="107"/>
      <c r="D1194" s="86"/>
      <c r="E1194" s="108"/>
      <c r="F1194" s="109"/>
      <c r="G1194" s="109"/>
    </row>
    <row r="1195" spans="1:7">
      <c r="A1195" s="83"/>
      <c r="B1195" s="106"/>
      <c r="C1195" s="107"/>
      <c r="D1195" s="86"/>
      <c r="E1195" s="108"/>
      <c r="F1195" s="109"/>
      <c r="G1195" s="109"/>
    </row>
    <row r="1196" spans="1:7">
      <c r="A1196" s="83"/>
      <c r="B1196" s="106"/>
      <c r="C1196" s="107"/>
      <c r="D1196" s="86"/>
      <c r="E1196" s="108"/>
      <c r="F1196" s="109"/>
      <c r="G1196" s="109"/>
    </row>
    <row r="1197" spans="1:7">
      <c r="A1197" s="83"/>
      <c r="B1197" s="106"/>
      <c r="C1197" s="107"/>
      <c r="D1197" s="86"/>
      <c r="E1197" s="108"/>
      <c r="F1197" s="109"/>
      <c r="G1197" s="109"/>
    </row>
    <row r="1198" spans="1:7">
      <c r="A1198" s="83"/>
      <c r="B1198" s="106"/>
      <c r="C1198" s="107"/>
      <c r="D1198" s="86"/>
      <c r="E1198" s="108"/>
      <c r="F1198" s="109"/>
      <c r="G1198" s="109"/>
    </row>
    <row r="1199" spans="1:7">
      <c r="A1199" s="83"/>
      <c r="B1199" s="106"/>
      <c r="C1199" s="107"/>
      <c r="D1199" s="86"/>
      <c r="E1199" s="108"/>
      <c r="F1199" s="109"/>
      <c r="G1199" s="109"/>
    </row>
    <row r="1200" spans="1:7">
      <c r="A1200" s="83"/>
      <c r="B1200" s="106"/>
      <c r="C1200" s="107"/>
      <c r="D1200" s="86"/>
      <c r="E1200" s="108"/>
      <c r="F1200" s="109"/>
      <c r="G1200" s="109"/>
    </row>
    <row r="1201" spans="1:7">
      <c r="A1201" s="83"/>
      <c r="B1201" s="106"/>
      <c r="C1201" s="107"/>
      <c r="D1201" s="86"/>
      <c r="E1201" s="108"/>
      <c r="F1201" s="109"/>
      <c r="G1201" s="109"/>
    </row>
    <row r="1202" spans="1:7">
      <c r="A1202" s="83"/>
      <c r="B1202" s="106"/>
      <c r="C1202" s="107"/>
      <c r="D1202" s="86"/>
      <c r="E1202" s="108"/>
      <c r="F1202" s="109"/>
      <c r="G1202" s="109"/>
    </row>
    <row r="1203" spans="1:7">
      <c r="A1203" s="83"/>
      <c r="B1203" s="106"/>
      <c r="C1203" s="107"/>
      <c r="D1203" s="86"/>
      <c r="E1203" s="108"/>
      <c r="F1203" s="109"/>
      <c r="G1203" s="109"/>
    </row>
    <row r="1204" spans="1:7">
      <c r="A1204" s="83"/>
      <c r="B1204" s="106"/>
      <c r="C1204" s="107"/>
      <c r="D1204" s="86"/>
      <c r="E1204" s="108"/>
      <c r="F1204" s="109"/>
      <c r="G1204" s="109"/>
    </row>
    <row r="1205" spans="1:7">
      <c r="A1205" s="83"/>
      <c r="B1205" s="106"/>
      <c r="C1205" s="107"/>
      <c r="D1205" s="86"/>
      <c r="E1205" s="108"/>
      <c r="F1205" s="109"/>
      <c r="G1205" s="109"/>
    </row>
    <row r="1206" spans="1:7">
      <c r="A1206" s="83"/>
      <c r="B1206" s="106"/>
      <c r="C1206" s="107"/>
      <c r="D1206" s="86"/>
      <c r="E1206" s="108"/>
      <c r="F1206" s="109"/>
      <c r="G1206" s="109"/>
    </row>
    <row r="1207" spans="1:7">
      <c r="A1207" s="83"/>
      <c r="B1207" s="106"/>
      <c r="C1207" s="107"/>
      <c r="D1207" s="86"/>
      <c r="E1207" s="108"/>
      <c r="F1207" s="109"/>
      <c r="G1207" s="109"/>
    </row>
    <row r="1208" spans="1:7">
      <c r="A1208" s="83"/>
      <c r="B1208" s="106"/>
      <c r="C1208" s="107"/>
      <c r="D1208" s="86"/>
      <c r="E1208" s="108"/>
      <c r="F1208" s="109"/>
      <c r="G1208" s="109"/>
    </row>
    <row r="1209" spans="1:7">
      <c r="A1209" s="83"/>
      <c r="B1209" s="106"/>
      <c r="C1209" s="107"/>
      <c r="D1209" s="86"/>
      <c r="E1209" s="108"/>
      <c r="F1209" s="109"/>
      <c r="G1209" s="109"/>
    </row>
    <row r="1210" spans="1:7">
      <c r="A1210" s="83"/>
      <c r="B1210" s="106"/>
      <c r="C1210" s="107"/>
      <c r="D1210" s="86"/>
      <c r="E1210" s="108"/>
      <c r="F1210" s="109"/>
      <c r="G1210" s="109"/>
    </row>
    <row r="1211" spans="1:7">
      <c r="A1211" s="83"/>
      <c r="B1211" s="106"/>
      <c r="C1211" s="107"/>
      <c r="D1211" s="86"/>
      <c r="E1211" s="108"/>
      <c r="F1211" s="109"/>
      <c r="G1211" s="109"/>
    </row>
    <row r="1212" spans="1:7">
      <c r="A1212" s="83"/>
      <c r="B1212" s="106"/>
      <c r="C1212" s="107"/>
      <c r="D1212" s="86"/>
      <c r="E1212" s="108"/>
      <c r="F1212" s="109"/>
      <c r="G1212" s="109"/>
    </row>
    <row r="1213" spans="1:7">
      <c r="A1213" s="83"/>
      <c r="B1213" s="106"/>
      <c r="C1213" s="107"/>
      <c r="D1213" s="86"/>
      <c r="E1213" s="108"/>
      <c r="F1213" s="109"/>
      <c r="G1213" s="109"/>
    </row>
    <row r="1214" spans="1:7">
      <c r="A1214" s="83"/>
      <c r="B1214" s="106"/>
      <c r="C1214" s="107"/>
      <c r="D1214" s="86"/>
      <c r="E1214" s="108"/>
      <c r="F1214" s="109"/>
      <c r="G1214" s="109"/>
    </row>
    <row r="1215" spans="1:7">
      <c r="A1215" s="83"/>
      <c r="B1215" s="106"/>
      <c r="C1215" s="107"/>
      <c r="D1215" s="86"/>
      <c r="E1215" s="108"/>
      <c r="F1215" s="109"/>
      <c r="G1215" s="109"/>
    </row>
    <row r="1216" spans="1:7">
      <c r="A1216" s="83"/>
      <c r="B1216" s="106"/>
      <c r="C1216" s="107"/>
      <c r="D1216" s="86"/>
      <c r="E1216" s="108"/>
      <c r="F1216" s="109"/>
      <c r="G1216" s="109"/>
    </row>
    <row r="1217" spans="1:7">
      <c r="A1217" s="83"/>
      <c r="B1217" s="106"/>
      <c r="C1217" s="107"/>
      <c r="D1217" s="86"/>
      <c r="E1217" s="108"/>
      <c r="F1217" s="109"/>
      <c r="G1217" s="109"/>
    </row>
    <row r="1218" spans="1:7">
      <c r="A1218" s="83"/>
      <c r="B1218" s="106"/>
      <c r="C1218" s="107"/>
      <c r="D1218" s="86"/>
      <c r="E1218" s="108"/>
      <c r="F1218" s="109"/>
      <c r="G1218" s="109"/>
    </row>
    <row r="1219" spans="1:7">
      <c r="A1219" s="83"/>
      <c r="B1219" s="106"/>
      <c r="C1219" s="107"/>
      <c r="D1219" s="86"/>
      <c r="E1219" s="108"/>
      <c r="F1219" s="109"/>
      <c r="G1219" s="109"/>
    </row>
    <row r="1220" spans="1:7">
      <c r="A1220" s="83"/>
      <c r="B1220" s="106"/>
      <c r="C1220" s="107"/>
      <c r="D1220" s="86"/>
      <c r="E1220" s="108"/>
      <c r="F1220" s="109"/>
      <c r="G1220" s="109"/>
    </row>
    <row r="1221" spans="1:7">
      <c r="A1221" s="83"/>
      <c r="B1221" s="106"/>
      <c r="C1221" s="107"/>
      <c r="D1221" s="86"/>
      <c r="E1221" s="108"/>
      <c r="F1221" s="109"/>
      <c r="G1221" s="109"/>
    </row>
    <row r="1222" spans="1:7">
      <c r="A1222" s="83"/>
      <c r="B1222" s="106"/>
      <c r="C1222" s="107"/>
      <c r="D1222" s="86"/>
      <c r="E1222" s="108"/>
      <c r="F1222" s="109"/>
      <c r="G1222" s="109"/>
    </row>
    <row r="1223" spans="1:7">
      <c r="A1223" s="83"/>
      <c r="B1223" s="106"/>
      <c r="C1223" s="107"/>
      <c r="D1223" s="86"/>
      <c r="E1223" s="108"/>
      <c r="F1223" s="109"/>
      <c r="G1223" s="109"/>
    </row>
    <row r="1224" spans="1:7">
      <c r="A1224" s="83"/>
      <c r="B1224" s="106"/>
      <c r="C1224" s="107"/>
      <c r="D1224" s="86"/>
      <c r="E1224" s="108"/>
      <c r="F1224" s="109"/>
      <c r="G1224" s="109"/>
    </row>
    <row r="1225" spans="1:7">
      <c r="A1225" s="83"/>
      <c r="B1225" s="106"/>
      <c r="C1225" s="107"/>
      <c r="D1225" s="86"/>
      <c r="E1225" s="108"/>
      <c r="F1225" s="109"/>
      <c r="G1225" s="109"/>
    </row>
    <row r="1226" spans="1:7">
      <c r="A1226" s="83"/>
      <c r="B1226" s="106"/>
      <c r="C1226" s="107"/>
      <c r="D1226" s="86"/>
      <c r="E1226" s="108"/>
      <c r="F1226" s="109"/>
      <c r="G1226" s="109"/>
    </row>
    <row r="1227" spans="1:7">
      <c r="A1227" s="83"/>
      <c r="B1227" s="106"/>
      <c r="C1227" s="107"/>
      <c r="D1227" s="86"/>
      <c r="E1227" s="108"/>
      <c r="F1227" s="109"/>
      <c r="G1227" s="109"/>
    </row>
    <row r="1228" spans="1:7">
      <c r="A1228" s="83"/>
      <c r="B1228" s="106"/>
      <c r="C1228" s="107"/>
      <c r="D1228" s="86"/>
      <c r="E1228" s="108"/>
      <c r="F1228" s="109"/>
      <c r="G1228" s="109"/>
    </row>
    <row r="1229" spans="1:7">
      <c r="A1229" s="83"/>
      <c r="B1229" s="106"/>
      <c r="C1229" s="107"/>
      <c r="D1229" s="86"/>
      <c r="E1229" s="108"/>
      <c r="F1229" s="109"/>
      <c r="G1229" s="109"/>
    </row>
    <row r="1230" spans="1:7">
      <c r="A1230" s="83"/>
      <c r="B1230" s="106"/>
      <c r="C1230" s="107"/>
      <c r="D1230" s="86"/>
      <c r="E1230" s="108"/>
      <c r="F1230" s="109"/>
      <c r="G1230" s="109"/>
    </row>
    <row r="1231" spans="1:7">
      <c r="A1231" s="83"/>
      <c r="B1231" s="106"/>
      <c r="C1231" s="107"/>
      <c r="D1231" s="86"/>
      <c r="E1231" s="108"/>
      <c r="F1231" s="109"/>
      <c r="G1231" s="109"/>
    </row>
    <row r="1232" spans="1:7">
      <c r="A1232" s="83"/>
      <c r="B1232" s="106"/>
      <c r="C1232" s="107"/>
      <c r="D1232" s="86"/>
      <c r="E1232" s="108"/>
      <c r="F1232" s="109"/>
      <c r="G1232" s="109"/>
    </row>
    <row r="1233" spans="1:7">
      <c r="A1233" s="83"/>
      <c r="B1233" s="106"/>
      <c r="C1233" s="107"/>
      <c r="D1233" s="86"/>
      <c r="E1233" s="108"/>
      <c r="F1233" s="109"/>
      <c r="G1233" s="109"/>
    </row>
    <row r="1234" spans="1:7">
      <c r="A1234" s="83"/>
      <c r="B1234" s="106"/>
      <c r="C1234" s="107"/>
      <c r="D1234" s="86"/>
      <c r="E1234" s="108"/>
      <c r="F1234" s="109"/>
      <c r="G1234" s="109"/>
    </row>
    <row r="1235" spans="1:7">
      <c r="A1235" s="83"/>
      <c r="B1235" s="106"/>
      <c r="C1235" s="107"/>
      <c r="D1235" s="86"/>
      <c r="E1235" s="108"/>
      <c r="F1235" s="109"/>
      <c r="G1235" s="109"/>
    </row>
    <row r="1236" spans="1:7">
      <c r="A1236" s="83"/>
      <c r="B1236" s="106"/>
      <c r="C1236" s="107"/>
      <c r="D1236" s="86"/>
      <c r="E1236" s="108"/>
      <c r="F1236" s="109"/>
      <c r="G1236" s="109"/>
    </row>
    <row r="1237" spans="1:7">
      <c r="A1237" s="83"/>
      <c r="B1237" s="106"/>
      <c r="C1237" s="107"/>
      <c r="D1237" s="86"/>
      <c r="E1237" s="108"/>
      <c r="F1237" s="109"/>
      <c r="G1237" s="109"/>
    </row>
    <row r="1238" spans="1:7">
      <c r="A1238" s="83"/>
      <c r="B1238" s="106"/>
      <c r="C1238" s="107"/>
      <c r="D1238" s="86"/>
      <c r="E1238" s="108"/>
      <c r="F1238" s="109"/>
      <c r="G1238" s="109"/>
    </row>
    <row r="1239" spans="1:7">
      <c r="A1239" s="83"/>
      <c r="B1239" s="106"/>
      <c r="C1239" s="107"/>
      <c r="D1239" s="86"/>
      <c r="E1239" s="108"/>
      <c r="F1239" s="109"/>
      <c r="G1239" s="109"/>
    </row>
    <row r="1240" spans="1:7">
      <c r="A1240" s="83"/>
      <c r="B1240" s="106"/>
      <c r="C1240" s="107"/>
      <c r="D1240" s="86"/>
      <c r="E1240" s="108"/>
      <c r="F1240" s="109"/>
      <c r="G1240" s="109"/>
    </row>
    <row r="1241" spans="1:7">
      <c r="A1241" s="83"/>
      <c r="B1241" s="106"/>
      <c r="C1241" s="107"/>
      <c r="D1241" s="86"/>
      <c r="E1241" s="108"/>
      <c r="F1241" s="109"/>
      <c r="G1241" s="109"/>
    </row>
    <row r="1242" spans="1:7">
      <c r="A1242" s="83"/>
      <c r="B1242" s="106"/>
      <c r="C1242" s="107"/>
      <c r="D1242" s="86"/>
      <c r="E1242" s="108"/>
      <c r="F1242" s="109"/>
      <c r="G1242" s="109"/>
    </row>
    <row r="1243" spans="1:7">
      <c r="A1243" s="83"/>
      <c r="B1243" s="106"/>
      <c r="C1243" s="107"/>
      <c r="D1243" s="86"/>
      <c r="E1243" s="108"/>
      <c r="F1243" s="109"/>
      <c r="G1243" s="109"/>
    </row>
    <row r="1244" spans="1:7">
      <c r="A1244" s="83"/>
      <c r="B1244" s="106"/>
      <c r="C1244" s="107"/>
      <c r="D1244" s="86"/>
      <c r="E1244" s="108"/>
      <c r="F1244" s="109"/>
      <c r="G1244" s="109"/>
    </row>
    <row r="1245" spans="1:7">
      <c r="A1245" s="83"/>
      <c r="B1245" s="106"/>
      <c r="C1245" s="107"/>
      <c r="D1245" s="86"/>
      <c r="E1245" s="108"/>
      <c r="F1245" s="109"/>
      <c r="G1245" s="109"/>
    </row>
    <row r="1246" spans="1:7">
      <c r="A1246" s="83"/>
      <c r="B1246" s="106"/>
      <c r="C1246" s="107"/>
      <c r="D1246" s="86"/>
      <c r="E1246" s="108"/>
      <c r="F1246" s="109"/>
      <c r="G1246" s="109"/>
    </row>
    <row r="1247" spans="1:7">
      <c r="A1247" s="83"/>
      <c r="B1247" s="106"/>
      <c r="C1247" s="107"/>
      <c r="D1247" s="86"/>
      <c r="E1247" s="108"/>
      <c r="F1247" s="109"/>
      <c r="G1247" s="109"/>
    </row>
    <row r="1248" spans="1:7">
      <c r="A1248" s="83"/>
      <c r="B1248" s="106"/>
      <c r="C1248" s="107"/>
      <c r="D1248" s="86"/>
      <c r="E1248" s="108"/>
      <c r="F1248" s="109"/>
      <c r="G1248" s="109"/>
    </row>
    <row r="1249" spans="1:7">
      <c r="A1249" s="83"/>
      <c r="B1249" s="106"/>
      <c r="C1249" s="107"/>
      <c r="D1249" s="86"/>
      <c r="E1249" s="108"/>
      <c r="F1249" s="109"/>
      <c r="G1249" s="109"/>
    </row>
    <row r="1250" spans="1:7">
      <c r="A1250" s="83"/>
      <c r="B1250" s="106"/>
      <c r="C1250" s="107"/>
      <c r="D1250" s="86"/>
      <c r="E1250" s="108"/>
      <c r="F1250" s="109"/>
      <c r="G1250" s="109"/>
    </row>
    <row r="1251" spans="1:7">
      <c r="A1251" s="83"/>
      <c r="B1251" s="106"/>
      <c r="C1251" s="107"/>
      <c r="D1251" s="86"/>
      <c r="E1251" s="108"/>
      <c r="F1251" s="109"/>
      <c r="G1251" s="109"/>
    </row>
    <row r="1252" spans="1:7">
      <c r="A1252" s="83"/>
      <c r="B1252" s="106"/>
      <c r="C1252" s="107"/>
      <c r="D1252" s="86"/>
      <c r="E1252" s="108"/>
      <c r="F1252" s="109"/>
      <c r="G1252" s="109"/>
    </row>
    <row r="1253" spans="1:7">
      <c r="A1253" s="83"/>
      <c r="B1253" s="106"/>
      <c r="C1253" s="107"/>
      <c r="D1253" s="86"/>
      <c r="E1253" s="108"/>
      <c r="F1253" s="109"/>
      <c r="G1253" s="109"/>
    </row>
    <row r="1254" spans="1:7">
      <c r="A1254" s="83"/>
      <c r="B1254" s="106"/>
      <c r="C1254" s="107"/>
      <c r="D1254" s="86"/>
      <c r="E1254" s="108"/>
      <c r="F1254" s="109"/>
      <c r="G1254" s="109"/>
    </row>
    <row r="1255" spans="1:7">
      <c r="A1255" s="83"/>
      <c r="B1255" s="106"/>
      <c r="C1255" s="107"/>
      <c r="D1255" s="86"/>
      <c r="E1255" s="108"/>
      <c r="F1255" s="109"/>
      <c r="G1255" s="109"/>
    </row>
    <row r="1256" spans="1:7">
      <c r="A1256" s="83"/>
      <c r="B1256" s="106"/>
      <c r="C1256" s="107"/>
      <c r="D1256" s="86"/>
      <c r="E1256" s="108"/>
      <c r="F1256" s="109"/>
      <c r="G1256" s="109"/>
    </row>
    <row r="1257" spans="1:7">
      <c r="A1257" s="83"/>
      <c r="B1257" s="106"/>
      <c r="C1257" s="107"/>
      <c r="D1257" s="86"/>
      <c r="E1257" s="108"/>
      <c r="F1257" s="109"/>
      <c r="G1257" s="109"/>
    </row>
    <row r="1258" spans="1:7">
      <c r="A1258" s="83"/>
      <c r="B1258" s="106"/>
      <c r="C1258" s="107"/>
      <c r="D1258" s="86"/>
      <c r="E1258" s="108"/>
      <c r="F1258" s="109"/>
      <c r="G1258" s="109"/>
    </row>
    <row r="1259" spans="1:7">
      <c r="A1259" s="83"/>
      <c r="B1259" s="106"/>
      <c r="C1259" s="107"/>
      <c r="D1259" s="86"/>
      <c r="E1259" s="108"/>
      <c r="F1259" s="109"/>
      <c r="G1259" s="109"/>
    </row>
    <row r="1260" spans="1:7">
      <c r="A1260" s="83"/>
      <c r="B1260" s="106"/>
      <c r="C1260" s="107"/>
      <c r="D1260" s="86"/>
      <c r="E1260" s="108"/>
      <c r="F1260" s="109"/>
      <c r="G1260" s="109"/>
    </row>
    <row r="1261" spans="1:7">
      <c r="A1261" s="83"/>
      <c r="B1261" s="106"/>
      <c r="C1261" s="107"/>
      <c r="D1261" s="86"/>
      <c r="E1261" s="108"/>
      <c r="F1261" s="109"/>
      <c r="G1261" s="109"/>
    </row>
    <row r="1262" spans="1:7">
      <c r="A1262" s="83"/>
      <c r="B1262" s="106"/>
      <c r="C1262" s="107"/>
      <c r="D1262" s="86"/>
      <c r="E1262" s="108"/>
      <c r="F1262" s="109"/>
      <c r="G1262" s="109"/>
    </row>
    <row r="1263" spans="1:7">
      <c r="A1263" s="83"/>
      <c r="B1263" s="106"/>
      <c r="C1263" s="107"/>
      <c r="D1263" s="86"/>
      <c r="E1263" s="108"/>
      <c r="F1263" s="109"/>
      <c r="G1263" s="109"/>
    </row>
    <row r="1264" spans="1:7">
      <c r="A1264" s="83"/>
      <c r="B1264" s="106"/>
      <c r="C1264" s="107"/>
      <c r="D1264" s="86"/>
      <c r="E1264" s="108"/>
      <c r="F1264" s="109"/>
      <c r="G1264" s="109"/>
    </row>
    <row r="1265" spans="1:7">
      <c r="A1265" s="83"/>
      <c r="B1265" s="106"/>
      <c r="C1265" s="107"/>
      <c r="D1265" s="86"/>
      <c r="E1265" s="108"/>
      <c r="F1265" s="109"/>
      <c r="G1265" s="109"/>
    </row>
    <row r="1266" spans="1:7">
      <c r="A1266" s="83"/>
      <c r="B1266" s="106"/>
      <c r="C1266" s="107"/>
      <c r="D1266" s="86"/>
      <c r="E1266" s="108"/>
      <c r="F1266" s="109"/>
      <c r="G1266" s="109"/>
    </row>
    <row r="1267" spans="1:7">
      <c r="A1267" s="83"/>
      <c r="B1267" s="106"/>
      <c r="C1267" s="107"/>
      <c r="D1267" s="86"/>
      <c r="E1267" s="108"/>
      <c r="F1267" s="109"/>
      <c r="G1267" s="109"/>
    </row>
    <row r="1268" spans="1:7">
      <c r="A1268" s="83"/>
      <c r="B1268" s="106"/>
      <c r="C1268" s="107"/>
      <c r="D1268" s="86"/>
      <c r="E1268" s="108"/>
      <c r="F1268" s="109"/>
      <c r="G1268" s="109"/>
    </row>
    <row r="1269" spans="1:7">
      <c r="A1269" s="83"/>
      <c r="B1269" s="106"/>
      <c r="C1269" s="107"/>
      <c r="D1269" s="86"/>
      <c r="E1269" s="108"/>
      <c r="F1269" s="109"/>
      <c r="G1269" s="109"/>
    </row>
    <row r="1270" spans="1:7">
      <c r="A1270" s="83"/>
      <c r="B1270" s="106"/>
      <c r="C1270" s="107"/>
      <c r="D1270" s="86"/>
      <c r="E1270" s="108"/>
      <c r="F1270" s="109"/>
      <c r="G1270" s="109"/>
    </row>
    <row r="1271" spans="1:7">
      <c r="A1271" s="83"/>
      <c r="B1271" s="106"/>
      <c r="C1271" s="107"/>
      <c r="D1271" s="86"/>
      <c r="E1271" s="108"/>
      <c r="F1271" s="109"/>
      <c r="G1271" s="109"/>
    </row>
    <row r="1272" spans="1:7">
      <c r="A1272" s="83"/>
      <c r="B1272" s="106"/>
      <c r="C1272" s="107"/>
      <c r="D1272" s="86"/>
      <c r="E1272" s="108"/>
      <c r="F1272" s="109"/>
      <c r="G1272" s="109"/>
    </row>
    <row r="1273" spans="1:7">
      <c r="A1273" s="83"/>
      <c r="B1273" s="106"/>
      <c r="C1273" s="107"/>
      <c r="D1273" s="86"/>
      <c r="E1273" s="108"/>
      <c r="F1273" s="109"/>
      <c r="G1273" s="109"/>
    </row>
    <row r="1274" spans="1:7">
      <c r="A1274" s="83"/>
      <c r="B1274" s="106"/>
      <c r="C1274" s="107"/>
      <c r="D1274" s="86"/>
      <c r="E1274" s="108"/>
      <c r="F1274" s="109"/>
      <c r="G1274" s="109"/>
    </row>
    <row r="1275" spans="1:7">
      <c r="A1275" s="83"/>
      <c r="B1275" s="106"/>
      <c r="C1275" s="107"/>
      <c r="D1275" s="86"/>
      <c r="E1275" s="108"/>
      <c r="F1275" s="109"/>
      <c r="G1275" s="109"/>
    </row>
    <row r="1276" spans="1:7">
      <c r="A1276" s="83"/>
      <c r="B1276" s="106"/>
      <c r="C1276" s="107"/>
      <c r="D1276" s="86"/>
      <c r="E1276" s="108"/>
      <c r="F1276" s="109"/>
      <c r="G1276" s="109"/>
    </row>
    <row r="1277" spans="1:7">
      <c r="A1277" s="83"/>
      <c r="B1277" s="106"/>
      <c r="C1277" s="107"/>
      <c r="D1277" s="86"/>
      <c r="E1277" s="108"/>
      <c r="F1277" s="109"/>
      <c r="G1277" s="109"/>
    </row>
    <row r="1278" spans="1:7">
      <c r="A1278" s="83"/>
      <c r="B1278" s="106"/>
      <c r="C1278" s="107"/>
      <c r="D1278" s="86"/>
      <c r="E1278" s="108"/>
      <c r="F1278" s="109"/>
      <c r="G1278" s="109"/>
    </row>
    <row r="1279" spans="1:7">
      <c r="A1279" s="83"/>
      <c r="B1279" s="106"/>
      <c r="C1279" s="107"/>
      <c r="D1279" s="86"/>
      <c r="E1279" s="108"/>
      <c r="F1279" s="109"/>
      <c r="G1279" s="109"/>
    </row>
    <row r="1280" spans="1:7">
      <c r="A1280" s="83"/>
      <c r="B1280" s="106"/>
      <c r="C1280" s="107"/>
      <c r="D1280" s="86"/>
      <c r="E1280" s="108"/>
      <c r="F1280" s="109"/>
      <c r="G1280" s="109"/>
    </row>
    <row r="1281" spans="1:7">
      <c r="A1281" s="83"/>
      <c r="B1281" s="106"/>
      <c r="C1281" s="107"/>
      <c r="D1281" s="86"/>
      <c r="E1281" s="108"/>
      <c r="F1281" s="109"/>
      <c r="G1281" s="109"/>
    </row>
    <row r="1282" spans="1:7">
      <c r="A1282" s="83"/>
      <c r="B1282" s="106"/>
      <c r="C1282" s="107"/>
      <c r="D1282" s="86"/>
      <c r="E1282" s="108"/>
      <c r="F1282" s="109"/>
      <c r="G1282" s="109"/>
    </row>
    <row r="1283" spans="1:7">
      <c r="A1283" s="83"/>
      <c r="B1283" s="106"/>
      <c r="C1283" s="107"/>
      <c r="D1283" s="86"/>
      <c r="E1283" s="108"/>
      <c r="F1283" s="109"/>
      <c r="G1283" s="109"/>
    </row>
    <row r="1284" spans="1:7">
      <c r="A1284" s="83"/>
      <c r="B1284" s="106"/>
      <c r="C1284" s="107"/>
      <c r="D1284" s="86"/>
      <c r="E1284" s="108"/>
      <c r="F1284" s="109"/>
      <c r="G1284" s="109"/>
    </row>
    <row r="1285" spans="1:7">
      <c r="A1285" s="83"/>
      <c r="B1285" s="106"/>
      <c r="C1285" s="107"/>
      <c r="D1285" s="86"/>
      <c r="E1285" s="108"/>
      <c r="F1285" s="109"/>
      <c r="G1285" s="109"/>
    </row>
    <row r="1286" spans="1:7">
      <c r="A1286" s="83"/>
      <c r="B1286" s="106"/>
      <c r="C1286" s="107"/>
      <c r="D1286" s="86"/>
      <c r="E1286" s="108"/>
      <c r="F1286" s="109"/>
      <c r="G1286" s="109"/>
    </row>
    <row r="1287" spans="1:7">
      <c r="A1287" s="83"/>
      <c r="B1287" s="106"/>
      <c r="C1287" s="107"/>
      <c r="D1287" s="86"/>
      <c r="E1287" s="108"/>
      <c r="F1287" s="109"/>
      <c r="G1287" s="109"/>
    </row>
    <row r="1288" spans="1:7">
      <c r="A1288" s="83"/>
      <c r="B1288" s="106"/>
      <c r="C1288" s="107"/>
      <c r="D1288" s="86"/>
      <c r="E1288" s="108"/>
      <c r="F1288" s="109"/>
      <c r="G1288" s="109"/>
    </row>
    <row r="1289" spans="1:7">
      <c r="A1289" s="83"/>
      <c r="B1289" s="106"/>
      <c r="C1289" s="107"/>
      <c r="D1289" s="86"/>
      <c r="E1289" s="108"/>
      <c r="F1289" s="109"/>
      <c r="G1289" s="109"/>
    </row>
    <row r="1290" spans="1:7">
      <c r="A1290" s="83"/>
      <c r="B1290" s="106"/>
      <c r="C1290" s="107"/>
      <c r="D1290" s="86"/>
      <c r="E1290" s="108"/>
      <c r="F1290" s="109"/>
      <c r="G1290" s="109"/>
    </row>
    <row r="1291" spans="1:7">
      <c r="A1291" s="83"/>
      <c r="B1291" s="106"/>
      <c r="C1291" s="107"/>
      <c r="D1291" s="86"/>
      <c r="E1291" s="108"/>
      <c r="F1291" s="109"/>
      <c r="G1291" s="109"/>
    </row>
    <row r="1292" spans="1:7">
      <c r="A1292" s="83"/>
      <c r="B1292" s="106"/>
      <c r="C1292" s="107"/>
      <c r="D1292" s="86"/>
      <c r="E1292" s="108"/>
      <c r="F1292" s="109"/>
      <c r="G1292" s="109"/>
    </row>
    <row r="1293" spans="1:7">
      <c r="A1293" s="83"/>
      <c r="B1293" s="106"/>
      <c r="C1293" s="107"/>
      <c r="D1293" s="86"/>
      <c r="E1293" s="108"/>
      <c r="F1293" s="109"/>
      <c r="G1293" s="109"/>
    </row>
    <row r="1294" spans="1:7">
      <c r="A1294" s="83"/>
      <c r="B1294" s="106"/>
      <c r="C1294" s="107"/>
      <c r="D1294" s="86"/>
      <c r="E1294" s="108"/>
      <c r="F1294" s="109"/>
      <c r="G1294" s="109"/>
    </row>
    <row r="1295" spans="1:7">
      <c r="A1295" s="83"/>
      <c r="B1295" s="106"/>
      <c r="C1295" s="107"/>
      <c r="D1295" s="86"/>
      <c r="E1295" s="108"/>
      <c r="F1295" s="109"/>
      <c r="G1295" s="109"/>
    </row>
    <row r="1296" spans="1:7">
      <c r="A1296" s="83"/>
      <c r="B1296" s="106"/>
      <c r="C1296" s="107"/>
      <c r="D1296" s="86"/>
      <c r="E1296" s="108"/>
      <c r="F1296" s="109"/>
      <c r="G1296" s="109"/>
    </row>
    <row r="1297" spans="1:7">
      <c r="A1297" s="83"/>
      <c r="B1297" s="106"/>
      <c r="C1297" s="107"/>
      <c r="D1297" s="86"/>
      <c r="E1297" s="108"/>
      <c r="F1297" s="109"/>
      <c r="G1297" s="109"/>
    </row>
    <row r="1298" spans="1:7">
      <c r="A1298" s="83"/>
      <c r="B1298" s="106"/>
      <c r="C1298" s="107"/>
      <c r="D1298" s="86"/>
      <c r="E1298" s="108"/>
      <c r="F1298" s="109"/>
      <c r="G1298" s="109"/>
    </row>
    <row r="1299" spans="1:7">
      <c r="A1299" s="83"/>
      <c r="B1299" s="106"/>
      <c r="C1299" s="107"/>
      <c r="D1299" s="86"/>
      <c r="E1299" s="108"/>
      <c r="F1299" s="109"/>
      <c r="G1299" s="109"/>
    </row>
    <row r="1300" spans="1:7">
      <c r="A1300" s="83"/>
      <c r="B1300" s="106"/>
      <c r="C1300" s="107"/>
      <c r="D1300" s="86"/>
      <c r="E1300" s="108"/>
      <c r="F1300" s="109"/>
      <c r="G1300" s="109"/>
    </row>
    <row r="1301" spans="1:7">
      <c r="A1301" s="83"/>
      <c r="B1301" s="106"/>
      <c r="C1301" s="107"/>
      <c r="D1301" s="86"/>
      <c r="E1301" s="108"/>
      <c r="F1301" s="109"/>
      <c r="G1301" s="109"/>
    </row>
    <row r="1302" spans="1:7">
      <c r="A1302" s="83"/>
      <c r="B1302" s="106"/>
      <c r="C1302" s="107"/>
      <c r="D1302" s="86"/>
      <c r="E1302" s="108"/>
      <c r="F1302" s="109"/>
      <c r="G1302" s="109"/>
    </row>
    <row r="1303" spans="1:7">
      <c r="A1303" s="83"/>
      <c r="B1303" s="106"/>
      <c r="C1303" s="107"/>
      <c r="D1303" s="86"/>
      <c r="E1303" s="108"/>
      <c r="F1303" s="109"/>
      <c r="G1303" s="109"/>
    </row>
    <row r="1304" spans="1:7">
      <c r="A1304" s="83"/>
      <c r="B1304" s="106"/>
      <c r="C1304" s="107"/>
      <c r="D1304" s="86"/>
      <c r="E1304" s="108"/>
      <c r="F1304" s="109"/>
      <c r="G1304" s="109"/>
    </row>
    <row r="1305" spans="1:7">
      <c r="A1305" s="83"/>
      <c r="B1305" s="106"/>
      <c r="C1305" s="107"/>
      <c r="D1305" s="86"/>
      <c r="E1305" s="108"/>
      <c r="F1305" s="109"/>
      <c r="G1305" s="109"/>
    </row>
    <row r="1306" spans="1:7">
      <c r="A1306" s="83"/>
      <c r="B1306" s="106"/>
      <c r="C1306" s="107"/>
      <c r="D1306" s="86"/>
      <c r="E1306" s="108"/>
      <c r="F1306" s="109"/>
      <c r="G1306" s="109"/>
    </row>
    <row r="1307" spans="1:7">
      <c r="A1307" s="83"/>
      <c r="B1307" s="106"/>
      <c r="C1307" s="107"/>
      <c r="D1307" s="86"/>
      <c r="E1307" s="108"/>
      <c r="F1307" s="109"/>
      <c r="G1307" s="109"/>
    </row>
    <row r="1308" spans="1:7">
      <c r="A1308" s="83"/>
      <c r="B1308" s="106"/>
      <c r="C1308" s="107"/>
      <c r="D1308" s="86"/>
      <c r="E1308" s="108"/>
      <c r="F1308" s="109"/>
      <c r="G1308" s="109"/>
    </row>
    <row r="1309" spans="1:7">
      <c r="A1309" s="83"/>
      <c r="B1309" s="106"/>
      <c r="C1309" s="107"/>
      <c r="D1309" s="86"/>
      <c r="E1309" s="108"/>
      <c r="F1309" s="109"/>
      <c r="G1309" s="109"/>
    </row>
    <row r="1310" spans="1:7">
      <c r="A1310" s="83"/>
      <c r="B1310" s="106"/>
      <c r="C1310" s="107"/>
      <c r="D1310" s="86"/>
      <c r="E1310" s="108"/>
      <c r="F1310" s="109"/>
      <c r="G1310" s="109"/>
    </row>
    <row r="1311" spans="1:7">
      <c r="A1311" s="83"/>
      <c r="B1311" s="106"/>
      <c r="C1311" s="107"/>
      <c r="D1311" s="86"/>
      <c r="E1311" s="108"/>
      <c r="F1311" s="109"/>
      <c r="G1311" s="109"/>
    </row>
    <row r="1312" spans="1:7">
      <c r="A1312" s="83"/>
      <c r="B1312" s="106"/>
      <c r="C1312" s="107"/>
      <c r="D1312" s="86"/>
      <c r="E1312" s="108"/>
      <c r="F1312" s="109"/>
      <c r="G1312" s="109"/>
    </row>
    <row r="1313" spans="1:7">
      <c r="A1313" s="83"/>
      <c r="B1313" s="106"/>
      <c r="C1313" s="107"/>
      <c r="D1313" s="86"/>
      <c r="E1313" s="108"/>
      <c r="F1313" s="109"/>
      <c r="G1313" s="109"/>
    </row>
    <row r="1314" spans="1:7">
      <c r="A1314" s="83"/>
      <c r="B1314" s="106"/>
      <c r="C1314" s="107"/>
      <c r="D1314" s="86"/>
      <c r="E1314" s="108"/>
      <c r="F1314" s="109"/>
      <c r="G1314" s="109"/>
    </row>
    <row r="1315" spans="1:7">
      <c r="A1315" s="83"/>
      <c r="B1315" s="106"/>
      <c r="C1315" s="107"/>
      <c r="D1315" s="86"/>
      <c r="E1315" s="108"/>
      <c r="F1315" s="109"/>
      <c r="G1315" s="109"/>
    </row>
    <row r="1316" spans="1:7">
      <c r="A1316" s="83"/>
      <c r="B1316" s="106"/>
      <c r="C1316" s="107"/>
      <c r="D1316" s="86"/>
      <c r="E1316" s="108"/>
      <c r="F1316" s="109"/>
      <c r="G1316" s="109"/>
    </row>
    <row r="1317" spans="1:7">
      <c r="A1317" s="83"/>
      <c r="B1317" s="106"/>
      <c r="C1317" s="107"/>
      <c r="D1317" s="86"/>
      <c r="E1317" s="108"/>
      <c r="F1317" s="109"/>
      <c r="G1317" s="109"/>
    </row>
    <row r="1318" spans="1:7">
      <c r="A1318" s="83"/>
      <c r="B1318" s="106"/>
      <c r="C1318" s="107"/>
      <c r="D1318" s="86"/>
      <c r="E1318" s="108"/>
      <c r="F1318" s="109"/>
      <c r="G1318" s="109"/>
    </row>
    <row r="1319" spans="1:7">
      <c r="A1319" s="83"/>
      <c r="B1319" s="106"/>
      <c r="C1319" s="107"/>
      <c r="D1319" s="86"/>
      <c r="E1319" s="108"/>
      <c r="F1319" s="109"/>
      <c r="G1319" s="109"/>
    </row>
    <row r="1320" spans="1:7">
      <c r="A1320" s="83"/>
      <c r="B1320" s="106"/>
      <c r="C1320" s="107"/>
      <c r="D1320" s="86"/>
      <c r="E1320" s="108"/>
      <c r="F1320" s="109"/>
      <c r="G1320" s="109"/>
    </row>
    <row r="1321" spans="1:7">
      <c r="A1321" s="83"/>
      <c r="B1321" s="106"/>
      <c r="C1321" s="107"/>
      <c r="D1321" s="86"/>
      <c r="E1321" s="108"/>
      <c r="F1321" s="109"/>
      <c r="G1321" s="109"/>
    </row>
    <row r="1322" spans="1:7">
      <c r="A1322" s="83"/>
      <c r="B1322" s="106"/>
      <c r="C1322" s="107"/>
      <c r="D1322" s="86"/>
      <c r="E1322" s="108"/>
      <c r="F1322" s="109"/>
      <c r="G1322" s="109"/>
    </row>
    <row r="1323" spans="1:7">
      <c r="A1323" s="83"/>
      <c r="B1323" s="106"/>
      <c r="C1323" s="107"/>
      <c r="D1323" s="86"/>
      <c r="E1323" s="108"/>
      <c r="F1323" s="109"/>
      <c r="G1323" s="109"/>
    </row>
    <row r="1324" spans="1:7">
      <c r="A1324" s="83"/>
      <c r="B1324" s="106"/>
      <c r="C1324" s="107"/>
      <c r="D1324" s="86"/>
      <c r="E1324" s="108"/>
      <c r="F1324" s="109"/>
      <c r="G1324" s="109"/>
    </row>
    <row r="1325" spans="1:7">
      <c r="A1325" s="83"/>
      <c r="B1325" s="106"/>
      <c r="C1325" s="107"/>
      <c r="D1325" s="86"/>
      <c r="E1325" s="108"/>
      <c r="F1325" s="109"/>
      <c r="G1325" s="109"/>
    </row>
    <row r="1326" spans="1:7">
      <c r="A1326" s="83"/>
      <c r="B1326" s="106"/>
      <c r="C1326" s="107"/>
      <c r="D1326" s="86"/>
      <c r="E1326" s="108"/>
      <c r="F1326" s="109"/>
      <c r="G1326" s="109"/>
    </row>
    <row r="1327" spans="1:7">
      <c r="A1327" s="83"/>
      <c r="B1327" s="106"/>
      <c r="C1327" s="107"/>
      <c r="D1327" s="86"/>
      <c r="E1327" s="108"/>
      <c r="F1327" s="109"/>
      <c r="G1327" s="109"/>
    </row>
    <row r="1328" spans="1:7">
      <c r="A1328" s="83"/>
      <c r="B1328" s="106"/>
      <c r="C1328" s="107"/>
      <c r="D1328" s="86"/>
      <c r="E1328" s="108"/>
      <c r="F1328" s="109"/>
      <c r="G1328" s="109"/>
    </row>
    <row r="1329" spans="1:7">
      <c r="A1329" s="83"/>
      <c r="B1329" s="106"/>
      <c r="C1329" s="107"/>
      <c r="D1329" s="86"/>
      <c r="E1329" s="108"/>
      <c r="F1329" s="109"/>
      <c r="G1329" s="109"/>
    </row>
    <row r="1330" spans="1:7">
      <c r="A1330" s="83"/>
      <c r="B1330" s="106"/>
      <c r="C1330" s="107"/>
      <c r="D1330" s="86"/>
      <c r="E1330" s="108"/>
      <c r="F1330" s="109"/>
      <c r="G1330" s="109"/>
    </row>
    <row r="1331" spans="1:7">
      <c r="A1331" s="83"/>
      <c r="B1331" s="106"/>
      <c r="C1331" s="107"/>
      <c r="D1331" s="86"/>
      <c r="E1331" s="108"/>
      <c r="F1331" s="109"/>
      <c r="G1331" s="109"/>
    </row>
    <row r="1332" spans="1:7">
      <c r="A1332" s="83"/>
      <c r="B1332" s="106"/>
      <c r="C1332" s="107"/>
      <c r="D1332" s="86"/>
      <c r="E1332" s="108"/>
      <c r="F1332" s="109"/>
      <c r="G1332" s="109"/>
    </row>
    <row r="1333" spans="1:7">
      <c r="A1333" s="83"/>
      <c r="B1333" s="106"/>
      <c r="C1333" s="107"/>
      <c r="D1333" s="86"/>
      <c r="E1333" s="108"/>
      <c r="F1333" s="109"/>
      <c r="G1333" s="109"/>
    </row>
    <row r="1334" spans="1:7">
      <c r="A1334" s="83"/>
      <c r="B1334" s="106"/>
      <c r="C1334" s="107"/>
      <c r="D1334" s="86"/>
      <c r="E1334" s="108"/>
      <c r="F1334" s="109"/>
      <c r="G1334" s="109"/>
    </row>
    <row r="1335" spans="1:7">
      <c r="A1335" s="83"/>
      <c r="B1335" s="106"/>
      <c r="C1335" s="107"/>
      <c r="D1335" s="86"/>
      <c r="E1335" s="108"/>
      <c r="F1335" s="109"/>
      <c r="G1335" s="109"/>
    </row>
    <row r="1336" spans="1:7">
      <c r="A1336" s="83"/>
      <c r="B1336" s="106"/>
      <c r="C1336" s="107"/>
      <c r="D1336" s="86"/>
      <c r="E1336" s="108"/>
      <c r="F1336" s="109"/>
      <c r="G1336" s="109"/>
    </row>
    <row r="1337" spans="1:7">
      <c r="A1337" s="83"/>
      <c r="B1337" s="106"/>
      <c r="C1337" s="107"/>
      <c r="D1337" s="86"/>
      <c r="E1337" s="108"/>
      <c r="F1337" s="109"/>
      <c r="G1337" s="109"/>
    </row>
    <row r="1338" spans="1:7">
      <c r="A1338" s="83"/>
      <c r="B1338" s="106"/>
      <c r="C1338" s="107"/>
      <c r="D1338" s="86"/>
      <c r="E1338" s="108"/>
      <c r="F1338" s="109"/>
      <c r="G1338" s="109"/>
    </row>
    <row r="1339" spans="1:7">
      <c r="A1339" s="83"/>
      <c r="B1339" s="106"/>
      <c r="C1339" s="107"/>
      <c r="D1339" s="86"/>
      <c r="E1339" s="108"/>
      <c r="F1339" s="109"/>
      <c r="G1339" s="109"/>
    </row>
    <row r="1340" spans="1:7">
      <c r="A1340" s="83"/>
      <c r="B1340" s="106"/>
      <c r="C1340" s="107"/>
      <c r="D1340" s="86"/>
      <c r="E1340" s="108"/>
      <c r="F1340" s="109"/>
      <c r="G1340" s="109"/>
    </row>
    <row r="1341" spans="1:7">
      <c r="A1341" s="83"/>
      <c r="B1341" s="106"/>
      <c r="C1341" s="107"/>
      <c r="D1341" s="86"/>
      <c r="E1341" s="108"/>
      <c r="F1341" s="109"/>
      <c r="G1341" s="109"/>
    </row>
    <row r="1342" spans="1:7">
      <c r="A1342" s="83"/>
      <c r="B1342" s="106"/>
      <c r="C1342" s="107"/>
      <c r="D1342" s="86"/>
      <c r="E1342" s="108"/>
      <c r="F1342" s="109"/>
      <c r="G1342" s="109"/>
    </row>
    <row r="1343" spans="1:7">
      <c r="A1343" s="83"/>
      <c r="B1343" s="106"/>
      <c r="C1343" s="107"/>
      <c r="D1343" s="86"/>
      <c r="E1343" s="108"/>
      <c r="F1343" s="109"/>
      <c r="G1343" s="109"/>
    </row>
    <row r="1344" spans="1:7">
      <c r="A1344" s="83"/>
      <c r="B1344" s="106"/>
      <c r="C1344" s="107"/>
      <c r="D1344" s="86"/>
      <c r="E1344" s="108"/>
      <c r="F1344" s="109"/>
      <c r="G1344" s="109"/>
    </row>
    <row r="1345" spans="1:7">
      <c r="A1345" s="83"/>
      <c r="B1345" s="106"/>
      <c r="C1345" s="107"/>
      <c r="D1345" s="86"/>
      <c r="E1345" s="108"/>
      <c r="F1345" s="109"/>
      <c r="G1345" s="109"/>
    </row>
    <row r="1346" spans="1:7">
      <c r="A1346" s="83"/>
      <c r="B1346" s="106"/>
      <c r="C1346" s="107"/>
      <c r="D1346" s="86"/>
      <c r="E1346" s="108"/>
      <c r="F1346" s="109"/>
      <c r="G1346" s="109"/>
    </row>
    <row r="1347" spans="1:7">
      <c r="A1347" s="83"/>
      <c r="B1347" s="106"/>
      <c r="C1347" s="107"/>
      <c r="D1347" s="86"/>
      <c r="E1347" s="108"/>
      <c r="F1347" s="109"/>
      <c r="G1347" s="109"/>
    </row>
    <row r="1348" spans="1:7">
      <c r="A1348" s="83"/>
      <c r="B1348" s="106"/>
      <c r="C1348" s="107"/>
      <c r="D1348" s="86"/>
      <c r="E1348" s="108"/>
      <c r="F1348" s="109"/>
      <c r="G1348" s="109"/>
    </row>
    <row r="1349" spans="1:7">
      <c r="A1349" s="83"/>
      <c r="B1349" s="106"/>
      <c r="C1349" s="107"/>
      <c r="D1349" s="86"/>
      <c r="E1349" s="108"/>
      <c r="F1349" s="109"/>
      <c r="G1349" s="109"/>
    </row>
    <row r="1350" spans="1:7">
      <c r="A1350" s="83"/>
      <c r="B1350" s="106"/>
      <c r="C1350" s="107"/>
      <c r="D1350" s="86"/>
      <c r="E1350" s="108"/>
      <c r="F1350" s="109"/>
      <c r="G1350" s="109"/>
    </row>
    <row r="1351" spans="1:7">
      <c r="A1351" s="83"/>
      <c r="B1351" s="106"/>
      <c r="C1351" s="107"/>
      <c r="D1351" s="86"/>
      <c r="E1351" s="108"/>
      <c r="F1351" s="109"/>
      <c r="G1351" s="109"/>
    </row>
    <row r="1352" spans="1:7">
      <c r="A1352" s="83"/>
      <c r="B1352" s="106"/>
      <c r="C1352" s="107"/>
      <c r="D1352" s="86"/>
      <c r="E1352" s="108"/>
      <c r="F1352" s="109"/>
      <c r="G1352" s="109"/>
    </row>
    <row r="1353" spans="1:7">
      <c r="A1353" s="83"/>
      <c r="B1353" s="106"/>
      <c r="C1353" s="107"/>
      <c r="D1353" s="86"/>
      <c r="E1353" s="108"/>
      <c r="F1353" s="109"/>
      <c r="G1353" s="109"/>
    </row>
    <row r="1354" spans="1:7">
      <c r="A1354" s="83"/>
      <c r="B1354" s="106"/>
      <c r="C1354" s="107"/>
      <c r="D1354" s="86"/>
      <c r="E1354" s="108"/>
      <c r="F1354" s="109"/>
      <c r="G1354" s="109"/>
    </row>
    <row r="1355" spans="1:7">
      <c r="A1355" s="83"/>
      <c r="B1355" s="106"/>
      <c r="C1355" s="107"/>
      <c r="D1355" s="86"/>
      <c r="E1355" s="108"/>
      <c r="F1355" s="109"/>
      <c r="G1355" s="109"/>
    </row>
    <row r="1356" spans="1:7">
      <c r="A1356" s="83"/>
      <c r="B1356" s="106"/>
      <c r="C1356" s="107"/>
      <c r="D1356" s="86"/>
      <c r="E1356" s="108"/>
      <c r="F1356" s="109"/>
      <c r="G1356" s="109"/>
    </row>
    <row r="1357" spans="1:7">
      <c r="A1357" s="83"/>
      <c r="B1357" s="106"/>
      <c r="C1357" s="107"/>
      <c r="D1357" s="86"/>
      <c r="E1357" s="108"/>
      <c r="F1357" s="109"/>
      <c r="G1357" s="109"/>
    </row>
    <row r="1358" spans="1:7">
      <c r="A1358" s="83"/>
      <c r="B1358" s="106"/>
      <c r="C1358" s="107"/>
      <c r="D1358" s="86"/>
      <c r="E1358" s="108"/>
      <c r="F1358" s="109"/>
      <c r="G1358" s="109"/>
    </row>
    <row r="1359" spans="1:7">
      <c r="A1359" s="83"/>
      <c r="B1359" s="106"/>
      <c r="C1359" s="107"/>
      <c r="D1359" s="86"/>
      <c r="E1359" s="108"/>
      <c r="F1359" s="109"/>
      <c r="G1359" s="109"/>
    </row>
    <row r="1360" spans="1:7">
      <c r="A1360" s="83"/>
      <c r="B1360" s="106"/>
      <c r="C1360" s="107"/>
      <c r="D1360" s="86"/>
      <c r="E1360" s="108"/>
      <c r="F1360" s="109"/>
      <c r="G1360" s="109"/>
    </row>
    <row r="1361" spans="1:7">
      <c r="A1361" s="83"/>
      <c r="B1361" s="106"/>
      <c r="C1361" s="107"/>
      <c r="D1361" s="86"/>
      <c r="E1361" s="108"/>
      <c r="F1361" s="109"/>
      <c r="G1361" s="109"/>
    </row>
    <row r="1362" spans="1:7">
      <c r="A1362" s="83"/>
      <c r="B1362" s="106"/>
      <c r="C1362" s="107"/>
      <c r="D1362" s="86"/>
      <c r="E1362" s="108"/>
      <c r="F1362" s="109"/>
      <c r="G1362" s="109"/>
    </row>
    <row r="1363" spans="1:7">
      <c r="A1363" s="83"/>
      <c r="B1363" s="106"/>
      <c r="C1363" s="107"/>
      <c r="D1363" s="86"/>
      <c r="E1363" s="108"/>
      <c r="F1363" s="109"/>
      <c r="G1363" s="109"/>
    </row>
    <row r="1364" spans="1:7">
      <c r="A1364" s="83"/>
      <c r="B1364" s="106"/>
      <c r="C1364" s="107"/>
      <c r="D1364" s="86"/>
      <c r="E1364" s="108"/>
      <c r="F1364" s="109"/>
      <c r="G1364" s="109"/>
    </row>
    <row r="1365" spans="1:7">
      <c r="A1365" s="83"/>
      <c r="B1365" s="106"/>
      <c r="C1365" s="107"/>
      <c r="D1365" s="86"/>
      <c r="E1365" s="108"/>
      <c r="F1365" s="109"/>
      <c r="G1365" s="109"/>
    </row>
    <row r="1366" spans="1:7">
      <c r="A1366" s="83"/>
      <c r="B1366" s="106"/>
      <c r="C1366" s="107"/>
      <c r="D1366" s="86"/>
      <c r="E1366" s="108"/>
      <c r="F1366" s="109"/>
      <c r="G1366" s="109"/>
    </row>
    <row r="1367" spans="1:7">
      <c r="A1367" s="83"/>
      <c r="B1367" s="106"/>
      <c r="C1367" s="107"/>
      <c r="D1367" s="86"/>
      <c r="E1367" s="108"/>
      <c r="F1367" s="109"/>
      <c r="G1367" s="109"/>
    </row>
    <row r="1368" spans="1:7">
      <c r="A1368" s="83"/>
      <c r="B1368" s="106"/>
      <c r="C1368" s="107"/>
      <c r="D1368" s="86"/>
      <c r="E1368" s="108"/>
      <c r="F1368" s="109"/>
      <c r="G1368" s="109"/>
    </row>
    <row r="1369" spans="1:7">
      <c r="A1369" s="83"/>
      <c r="B1369" s="106"/>
      <c r="C1369" s="107"/>
      <c r="D1369" s="86"/>
      <c r="E1369" s="108"/>
      <c r="F1369" s="109"/>
      <c r="G1369" s="109"/>
    </row>
    <row r="1370" spans="1:7">
      <c r="A1370" s="83"/>
      <c r="B1370" s="106"/>
      <c r="C1370" s="107"/>
      <c r="D1370" s="86"/>
      <c r="E1370" s="108"/>
      <c r="F1370" s="109"/>
      <c r="G1370" s="109"/>
    </row>
    <row r="1371" spans="1:7">
      <c r="A1371" s="83"/>
      <c r="B1371" s="106"/>
      <c r="C1371" s="107"/>
      <c r="D1371" s="86"/>
      <c r="E1371" s="108"/>
      <c r="F1371" s="109"/>
      <c r="G1371" s="109"/>
    </row>
    <row r="1372" spans="1:7">
      <c r="A1372" s="83"/>
      <c r="B1372" s="106"/>
      <c r="C1372" s="107"/>
      <c r="D1372" s="86"/>
      <c r="E1372" s="108"/>
      <c r="F1372" s="109"/>
      <c r="G1372" s="109"/>
    </row>
    <row r="1373" spans="1:7">
      <c r="A1373" s="83"/>
      <c r="B1373" s="106"/>
      <c r="C1373" s="107"/>
      <c r="D1373" s="86"/>
      <c r="E1373" s="108"/>
      <c r="F1373" s="109"/>
      <c r="G1373" s="109"/>
    </row>
    <row r="1374" spans="1:7">
      <c r="A1374" s="83"/>
      <c r="B1374" s="106"/>
      <c r="C1374" s="107"/>
      <c r="D1374" s="86"/>
      <c r="E1374" s="108"/>
      <c r="F1374" s="109"/>
      <c r="G1374" s="109"/>
    </row>
    <row r="1375" spans="1:7">
      <c r="A1375" s="83"/>
      <c r="B1375" s="106"/>
      <c r="C1375" s="107"/>
      <c r="D1375" s="86"/>
      <c r="E1375" s="108"/>
      <c r="F1375" s="109"/>
      <c r="G1375" s="109"/>
    </row>
    <row r="1376" spans="1:7">
      <c r="A1376" s="83"/>
      <c r="B1376" s="106"/>
      <c r="C1376" s="107"/>
      <c r="D1376" s="86"/>
      <c r="E1376" s="108"/>
      <c r="F1376" s="109"/>
      <c r="G1376" s="109"/>
    </row>
    <row r="1377" spans="1:7">
      <c r="A1377" s="83"/>
      <c r="B1377" s="106"/>
      <c r="C1377" s="107"/>
      <c r="D1377" s="86"/>
      <c r="E1377" s="108"/>
      <c r="F1377" s="109"/>
      <c r="G1377" s="109"/>
    </row>
    <row r="1378" spans="1:7">
      <c r="A1378" s="83"/>
      <c r="B1378" s="106"/>
      <c r="C1378" s="107"/>
      <c r="D1378" s="86"/>
      <c r="E1378" s="108"/>
      <c r="F1378" s="109"/>
      <c r="G1378" s="109"/>
    </row>
    <row r="1379" spans="1:7">
      <c r="A1379" s="83"/>
      <c r="B1379" s="106"/>
      <c r="C1379" s="107"/>
      <c r="D1379" s="86"/>
      <c r="E1379" s="108"/>
      <c r="F1379" s="109"/>
      <c r="G1379" s="109"/>
    </row>
    <row r="1380" spans="1:7">
      <c r="A1380" s="83"/>
      <c r="B1380" s="106"/>
      <c r="C1380" s="107"/>
      <c r="D1380" s="86"/>
      <c r="E1380" s="108"/>
      <c r="F1380" s="109"/>
      <c r="G1380" s="109"/>
    </row>
    <row r="1381" spans="1:7">
      <c r="A1381" s="83"/>
      <c r="B1381" s="106"/>
      <c r="C1381" s="107"/>
      <c r="D1381" s="86"/>
      <c r="E1381" s="108"/>
      <c r="F1381" s="109"/>
      <c r="G1381" s="109"/>
    </row>
    <row r="1382" spans="1:7">
      <c r="A1382" s="83"/>
      <c r="B1382" s="106"/>
      <c r="C1382" s="107"/>
      <c r="D1382" s="86"/>
      <c r="E1382" s="108"/>
      <c r="F1382" s="109"/>
      <c r="G1382" s="109"/>
    </row>
    <row r="1383" spans="1:7">
      <c r="A1383" s="83"/>
      <c r="B1383" s="106"/>
      <c r="C1383" s="107"/>
      <c r="D1383" s="86"/>
      <c r="E1383" s="108"/>
      <c r="F1383" s="109"/>
      <c r="G1383" s="109"/>
    </row>
    <row r="1384" spans="1:7">
      <c r="A1384" s="83"/>
      <c r="B1384" s="106"/>
      <c r="C1384" s="107"/>
      <c r="D1384" s="86"/>
      <c r="E1384" s="108"/>
      <c r="F1384" s="109"/>
      <c r="G1384" s="109"/>
    </row>
    <row r="1385" spans="1:7">
      <c r="A1385" s="83"/>
      <c r="B1385" s="106"/>
      <c r="C1385" s="107"/>
      <c r="D1385" s="86"/>
      <c r="E1385" s="108"/>
      <c r="F1385" s="109"/>
      <c r="G1385" s="109"/>
    </row>
    <row r="1386" spans="1:7">
      <c r="A1386" s="83"/>
      <c r="B1386" s="106"/>
      <c r="C1386" s="107"/>
      <c r="D1386" s="86"/>
      <c r="E1386" s="108"/>
      <c r="F1386" s="109"/>
      <c r="G1386" s="109"/>
    </row>
    <row r="1387" spans="1:7">
      <c r="A1387" s="83"/>
      <c r="B1387" s="106"/>
      <c r="C1387" s="107"/>
      <c r="D1387" s="86"/>
      <c r="E1387" s="108"/>
      <c r="F1387" s="109"/>
      <c r="G1387" s="109"/>
    </row>
    <row r="1388" spans="1:7">
      <c r="A1388" s="83"/>
      <c r="B1388" s="106"/>
      <c r="C1388" s="107"/>
      <c r="D1388" s="86"/>
      <c r="E1388" s="108"/>
      <c r="F1388" s="109"/>
      <c r="G1388" s="109"/>
    </row>
    <row r="1389" spans="1:7">
      <c r="A1389" s="83"/>
      <c r="B1389" s="106"/>
      <c r="C1389" s="107"/>
      <c r="D1389" s="86"/>
      <c r="E1389" s="108"/>
      <c r="F1389" s="109"/>
      <c r="G1389" s="109"/>
    </row>
    <row r="1390" spans="1:7">
      <c r="A1390" s="83"/>
      <c r="B1390" s="106"/>
      <c r="C1390" s="107"/>
      <c r="D1390" s="86"/>
      <c r="E1390" s="108"/>
      <c r="F1390" s="109"/>
      <c r="G1390" s="109"/>
    </row>
    <row r="1391" spans="1:7">
      <c r="A1391" s="83"/>
      <c r="B1391" s="106"/>
      <c r="C1391" s="107"/>
      <c r="D1391" s="86"/>
      <c r="E1391" s="108"/>
      <c r="F1391" s="109"/>
      <c r="G1391" s="109"/>
    </row>
    <row r="1392" spans="1:7">
      <c r="A1392" s="83"/>
      <c r="B1392" s="106"/>
      <c r="C1392" s="107"/>
      <c r="D1392" s="86"/>
      <c r="E1392" s="108"/>
      <c r="F1392" s="109"/>
      <c r="G1392" s="109"/>
    </row>
    <row r="1393" spans="1:7">
      <c r="A1393" s="83"/>
      <c r="B1393" s="106"/>
      <c r="C1393" s="107"/>
      <c r="D1393" s="86"/>
      <c r="E1393" s="108"/>
      <c r="F1393" s="109"/>
      <c r="G1393" s="109"/>
    </row>
    <row r="1394" spans="1:7">
      <c r="A1394" s="83"/>
      <c r="B1394" s="106"/>
      <c r="C1394" s="107"/>
      <c r="D1394" s="86"/>
      <c r="E1394" s="108"/>
      <c r="F1394" s="109"/>
      <c r="G1394" s="109"/>
    </row>
    <row r="1395" spans="1:7">
      <c r="A1395" s="83"/>
      <c r="B1395" s="106"/>
      <c r="C1395" s="107"/>
      <c r="D1395" s="86"/>
      <c r="E1395" s="108"/>
      <c r="F1395" s="109"/>
      <c r="G1395" s="109"/>
    </row>
    <row r="1396" spans="1:7">
      <c r="A1396" s="83"/>
      <c r="B1396" s="106"/>
      <c r="C1396" s="107"/>
      <c r="D1396" s="86"/>
      <c r="E1396" s="108"/>
      <c r="F1396" s="109"/>
      <c r="G1396" s="109"/>
    </row>
    <row r="1397" spans="1:7">
      <c r="A1397" s="83"/>
      <c r="B1397" s="106"/>
      <c r="C1397" s="107"/>
      <c r="D1397" s="86"/>
      <c r="E1397" s="108"/>
      <c r="F1397" s="109"/>
      <c r="G1397" s="109"/>
    </row>
    <row r="1398" spans="1:7">
      <c r="A1398" s="83"/>
      <c r="B1398" s="106"/>
      <c r="C1398" s="107"/>
      <c r="D1398" s="86"/>
      <c r="E1398" s="108"/>
      <c r="F1398" s="109"/>
      <c r="G1398" s="109"/>
    </row>
    <row r="1399" spans="1:7">
      <c r="A1399" s="83"/>
      <c r="B1399" s="106"/>
      <c r="C1399" s="107"/>
      <c r="D1399" s="86"/>
      <c r="E1399" s="108"/>
      <c r="F1399" s="109"/>
      <c r="G1399" s="109"/>
    </row>
    <row r="1400" spans="1:7">
      <c r="A1400" s="83"/>
      <c r="B1400" s="106"/>
      <c r="C1400" s="107"/>
      <c r="D1400" s="86"/>
      <c r="E1400" s="108"/>
      <c r="F1400" s="109"/>
      <c r="G1400" s="109"/>
    </row>
    <row r="1401" spans="1:7">
      <c r="A1401" s="83"/>
      <c r="B1401" s="106"/>
      <c r="C1401" s="107"/>
      <c r="D1401" s="86"/>
      <c r="E1401" s="108"/>
      <c r="F1401" s="109"/>
      <c r="G1401" s="109"/>
    </row>
    <row r="1402" spans="1:7">
      <c r="A1402" s="83"/>
      <c r="B1402" s="106"/>
      <c r="C1402" s="107"/>
      <c r="D1402" s="86"/>
      <c r="E1402" s="108"/>
      <c r="F1402" s="109"/>
      <c r="G1402" s="109"/>
    </row>
    <row r="1403" spans="1:7">
      <c r="A1403" s="83"/>
      <c r="B1403" s="106"/>
      <c r="C1403" s="107"/>
      <c r="D1403" s="86"/>
      <c r="E1403" s="108"/>
      <c r="F1403" s="109"/>
      <c r="G1403" s="109"/>
    </row>
    <row r="1404" spans="1:7">
      <c r="A1404" s="83"/>
      <c r="B1404" s="106"/>
      <c r="C1404" s="107"/>
      <c r="D1404" s="86"/>
      <c r="E1404" s="108"/>
      <c r="F1404" s="109"/>
      <c r="G1404" s="109"/>
    </row>
    <row r="1405" spans="1:7">
      <c r="A1405" s="83"/>
      <c r="B1405" s="106"/>
      <c r="C1405" s="107"/>
      <c r="D1405" s="86"/>
      <c r="E1405" s="108"/>
      <c r="F1405" s="109"/>
      <c r="G1405" s="109"/>
    </row>
    <row r="1406" spans="1:7">
      <c r="A1406" s="83"/>
      <c r="B1406" s="106"/>
      <c r="C1406" s="107"/>
      <c r="D1406" s="86"/>
      <c r="E1406" s="108"/>
      <c r="F1406" s="109"/>
      <c r="G1406" s="109"/>
    </row>
    <row r="1407" spans="1:7">
      <c r="A1407" s="83"/>
      <c r="B1407" s="106"/>
      <c r="C1407" s="107"/>
      <c r="D1407" s="86"/>
      <c r="E1407" s="108"/>
      <c r="F1407" s="109"/>
      <c r="G1407" s="109"/>
    </row>
    <row r="1408" spans="1:7">
      <c r="A1408" s="83"/>
      <c r="B1408" s="106"/>
      <c r="C1408" s="107"/>
      <c r="D1408" s="86"/>
      <c r="E1408" s="108"/>
      <c r="F1408" s="109"/>
      <c r="G1408" s="109"/>
    </row>
    <row r="1409" spans="1:7">
      <c r="A1409" s="83"/>
      <c r="B1409" s="106"/>
      <c r="C1409" s="107"/>
      <c r="D1409" s="86"/>
      <c r="E1409" s="108"/>
      <c r="F1409" s="109"/>
      <c r="G1409" s="109"/>
    </row>
    <row r="1410" spans="1:7">
      <c r="A1410" s="83"/>
      <c r="B1410" s="106"/>
      <c r="C1410" s="107"/>
      <c r="D1410" s="86"/>
      <c r="E1410" s="108"/>
      <c r="F1410" s="109"/>
      <c r="G1410" s="109"/>
    </row>
    <row r="1411" spans="1:7">
      <c r="A1411" s="83"/>
      <c r="B1411" s="106"/>
      <c r="C1411" s="107"/>
      <c r="D1411" s="86"/>
      <c r="E1411" s="108"/>
      <c r="F1411" s="109"/>
      <c r="G1411" s="109"/>
    </row>
    <row r="1412" spans="1:7">
      <c r="A1412" s="83"/>
      <c r="B1412" s="106"/>
      <c r="C1412" s="107"/>
      <c r="D1412" s="86"/>
      <c r="E1412" s="108"/>
      <c r="F1412" s="109"/>
      <c r="G1412" s="109"/>
    </row>
    <row r="1413" spans="1:7">
      <c r="A1413" s="83"/>
      <c r="B1413" s="106"/>
      <c r="C1413" s="107"/>
      <c r="D1413" s="86"/>
      <c r="E1413" s="108"/>
      <c r="F1413" s="109"/>
      <c r="G1413" s="109"/>
    </row>
    <row r="1414" spans="1:7">
      <c r="A1414" s="83"/>
      <c r="B1414" s="106"/>
      <c r="C1414" s="107"/>
      <c r="D1414" s="86"/>
      <c r="E1414" s="108"/>
      <c r="F1414" s="109"/>
      <c r="G1414" s="109"/>
    </row>
    <row r="1415" spans="1:7">
      <c r="A1415" s="83"/>
      <c r="B1415" s="106"/>
      <c r="C1415" s="107"/>
      <c r="D1415" s="86"/>
      <c r="E1415" s="108"/>
      <c r="F1415" s="109"/>
      <c r="G1415" s="109"/>
    </row>
    <row r="1416" spans="1:7">
      <c r="A1416" s="83"/>
      <c r="B1416" s="106"/>
      <c r="C1416" s="107"/>
      <c r="D1416" s="86"/>
      <c r="E1416" s="108"/>
      <c r="F1416" s="109"/>
      <c r="G1416" s="109"/>
    </row>
    <row r="1417" spans="1:7">
      <c r="A1417" s="83"/>
      <c r="B1417" s="106"/>
      <c r="C1417" s="107"/>
      <c r="D1417" s="86"/>
      <c r="E1417" s="108"/>
      <c r="F1417" s="109"/>
      <c r="G1417" s="109"/>
    </row>
    <row r="1418" spans="1:7">
      <c r="A1418" s="83"/>
      <c r="B1418" s="106"/>
      <c r="C1418" s="107"/>
      <c r="D1418" s="86"/>
      <c r="E1418" s="108"/>
      <c r="F1418" s="109"/>
      <c r="G1418" s="109"/>
    </row>
    <row r="1419" spans="1:7">
      <c r="A1419" s="83"/>
      <c r="B1419" s="106"/>
      <c r="C1419" s="107"/>
      <c r="D1419" s="86"/>
      <c r="E1419" s="108"/>
      <c r="F1419" s="109"/>
      <c r="G1419" s="109"/>
    </row>
    <row r="1420" spans="1:7">
      <c r="A1420" s="83"/>
      <c r="B1420" s="106"/>
      <c r="C1420" s="107"/>
      <c r="D1420" s="86"/>
      <c r="E1420" s="108"/>
      <c r="F1420" s="109"/>
      <c r="G1420" s="109"/>
    </row>
    <row r="1421" spans="1:7">
      <c r="A1421" s="83"/>
      <c r="B1421" s="106"/>
      <c r="C1421" s="107"/>
      <c r="D1421" s="86"/>
      <c r="E1421" s="108"/>
      <c r="F1421" s="109"/>
      <c r="G1421" s="109"/>
    </row>
    <row r="1422" spans="1:7">
      <c r="A1422" s="83"/>
      <c r="B1422" s="106"/>
      <c r="C1422" s="107"/>
      <c r="D1422" s="86"/>
      <c r="E1422" s="108"/>
      <c r="F1422" s="109"/>
      <c r="G1422" s="109"/>
    </row>
    <row r="1423" spans="1:7">
      <c r="A1423" s="83"/>
      <c r="B1423" s="106"/>
      <c r="C1423" s="107"/>
      <c r="D1423" s="86"/>
      <c r="E1423" s="108"/>
      <c r="F1423" s="109"/>
      <c r="G1423" s="109"/>
    </row>
    <row r="1424" spans="1:7">
      <c r="A1424" s="83"/>
      <c r="B1424" s="106"/>
      <c r="C1424" s="107"/>
      <c r="D1424" s="86"/>
      <c r="E1424" s="108"/>
      <c r="F1424" s="109"/>
      <c r="G1424" s="109"/>
    </row>
    <row r="1425" spans="1:7">
      <c r="A1425" s="83"/>
      <c r="B1425" s="106"/>
      <c r="C1425" s="107"/>
      <c r="D1425" s="86"/>
      <c r="E1425" s="108"/>
      <c r="F1425" s="109"/>
      <c r="G1425" s="109"/>
    </row>
    <row r="1426" spans="1:7">
      <c r="A1426" s="83"/>
      <c r="B1426" s="106"/>
      <c r="C1426" s="107"/>
      <c r="D1426" s="86"/>
      <c r="E1426" s="108"/>
      <c r="F1426" s="109"/>
      <c r="G1426" s="109"/>
    </row>
    <row r="1427" spans="1:7">
      <c r="A1427" s="83"/>
      <c r="B1427" s="106"/>
      <c r="C1427" s="107"/>
      <c r="D1427" s="86"/>
      <c r="E1427" s="108"/>
      <c r="F1427" s="109"/>
      <c r="G1427" s="109"/>
    </row>
    <row r="1428" spans="1:7">
      <c r="A1428" s="83"/>
      <c r="B1428" s="106"/>
      <c r="C1428" s="107"/>
      <c r="D1428" s="86"/>
      <c r="E1428" s="108"/>
      <c r="F1428" s="109"/>
      <c r="G1428" s="109"/>
    </row>
    <row r="1429" spans="1:7">
      <c r="A1429" s="83"/>
      <c r="B1429" s="106"/>
      <c r="C1429" s="107"/>
      <c r="D1429" s="86"/>
      <c r="E1429" s="108"/>
      <c r="F1429" s="109"/>
      <c r="G1429" s="109"/>
    </row>
    <row r="1430" spans="1:7">
      <c r="A1430" s="83"/>
      <c r="B1430" s="106"/>
      <c r="C1430" s="107"/>
      <c r="D1430" s="86"/>
      <c r="E1430" s="108"/>
      <c r="F1430" s="109"/>
      <c r="G1430" s="109"/>
    </row>
    <row r="1431" spans="1:7">
      <c r="A1431" s="83"/>
      <c r="B1431" s="106"/>
      <c r="C1431" s="107"/>
      <c r="D1431" s="86"/>
      <c r="E1431" s="108"/>
      <c r="F1431" s="109"/>
      <c r="G1431" s="109"/>
    </row>
    <row r="1432" spans="1:7">
      <c r="A1432" s="83"/>
      <c r="B1432" s="106"/>
      <c r="C1432" s="107"/>
      <c r="D1432" s="86"/>
      <c r="E1432" s="108"/>
      <c r="F1432" s="109"/>
      <c r="G1432" s="109"/>
    </row>
    <row r="1433" spans="1:7">
      <c r="A1433" s="83"/>
      <c r="B1433" s="106"/>
      <c r="C1433" s="107"/>
      <c r="D1433" s="86"/>
      <c r="E1433" s="108"/>
      <c r="F1433" s="109"/>
      <c r="G1433" s="109"/>
    </row>
    <row r="1434" spans="1:7">
      <c r="A1434" s="83"/>
      <c r="B1434" s="106"/>
      <c r="C1434" s="107"/>
      <c r="D1434" s="86"/>
      <c r="E1434" s="108"/>
      <c r="F1434" s="109"/>
      <c r="G1434" s="109"/>
    </row>
    <row r="1435" spans="1:7">
      <c r="A1435" s="83"/>
      <c r="B1435" s="106"/>
      <c r="C1435" s="107"/>
      <c r="D1435" s="86"/>
      <c r="E1435" s="108"/>
      <c r="F1435" s="109"/>
      <c r="G1435" s="109"/>
    </row>
    <row r="1436" spans="1:7">
      <c r="A1436" s="83"/>
      <c r="B1436" s="106"/>
      <c r="C1436" s="107"/>
      <c r="D1436" s="86"/>
      <c r="E1436" s="108"/>
      <c r="F1436" s="109"/>
      <c r="G1436" s="109"/>
    </row>
    <row r="1437" spans="1:7">
      <c r="A1437" s="83"/>
      <c r="B1437" s="106"/>
      <c r="C1437" s="107"/>
      <c r="D1437" s="86"/>
      <c r="E1437" s="108"/>
      <c r="F1437" s="109"/>
      <c r="G1437" s="109"/>
    </row>
    <row r="1438" spans="1:7">
      <c r="A1438" s="83"/>
      <c r="B1438" s="106"/>
      <c r="C1438" s="107"/>
      <c r="D1438" s="86"/>
      <c r="E1438" s="108"/>
      <c r="F1438" s="109"/>
      <c r="G1438" s="109"/>
    </row>
    <row r="1439" spans="1:7">
      <c r="A1439" s="83"/>
      <c r="B1439" s="106"/>
      <c r="C1439" s="107"/>
      <c r="D1439" s="86"/>
      <c r="E1439" s="108"/>
      <c r="F1439" s="109"/>
      <c r="G1439" s="109"/>
    </row>
    <row r="1440" spans="1:7">
      <c r="A1440" s="83"/>
      <c r="B1440" s="106"/>
      <c r="C1440" s="107"/>
      <c r="D1440" s="86"/>
      <c r="E1440" s="108"/>
      <c r="F1440" s="109"/>
      <c r="G1440" s="109"/>
    </row>
    <row r="1441" spans="1:7">
      <c r="A1441" s="83"/>
      <c r="B1441" s="106"/>
      <c r="C1441" s="107"/>
      <c r="D1441" s="86"/>
      <c r="E1441" s="108"/>
      <c r="F1441" s="109"/>
      <c r="G1441" s="109"/>
    </row>
    <row r="1442" spans="1:7">
      <c r="A1442" s="83"/>
      <c r="B1442" s="106"/>
      <c r="C1442" s="107"/>
      <c r="D1442" s="86"/>
      <c r="E1442" s="108"/>
      <c r="F1442" s="109"/>
      <c r="G1442" s="109"/>
    </row>
    <row r="1443" spans="1:7">
      <c r="A1443" s="83"/>
      <c r="B1443" s="106"/>
      <c r="C1443" s="107"/>
      <c r="D1443" s="86"/>
      <c r="E1443" s="108"/>
      <c r="F1443" s="109"/>
      <c r="G1443" s="109"/>
    </row>
    <row r="1444" spans="1:7">
      <c r="A1444" s="83"/>
      <c r="B1444" s="106"/>
      <c r="C1444" s="107"/>
      <c r="D1444" s="86"/>
      <c r="E1444" s="108"/>
      <c r="F1444" s="109"/>
      <c r="G1444" s="109"/>
    </row>
    <row r="1445" spans="1:7">
      <c r="A1445" s="83"/>
      <c r="B1445" s="106"/>
      <c r="C1445" s="107"/>
      <c r="D1445" s="86"/>
      <c r="E1445" s="108"/>
      <c r="F1445" s="109"/>
      <c r="G1445" s="109"/>
    </row>
    <row r="1446" spans="1:7">
      <c r="A1446" s="83"/>
      <c r="B1446" s="106"/>
      <c r="C1446" s="107"/>
      <c r="D1446" s="86"/>
      <c r="E1446" s="108"/>
      <c r="F1446" s="109"/>
      <c r="G1446" s="109"/>
    </row>
    <row r="1447" spans="1:7">
      <c r="A1447" s="83"/>
      <c r="B1447" s="106"/>
      <c r="C1447" s="107"/>
      <c r="D1447" s="86"/>
      <c r="E1447" s="108"/>
      <c r="F1447" s="109"/>
      <c r="G1447" s="109"/>
    </row>
    <row r="1448" spans="1:7">
      <c r="A1448" s="83"/>
      <c r="B1448" s="106"/>
      <c r="C1448" s="107"/>
      <c r="D1448" s="86"/>
      <c r="E1448" s="108"/>
      <c r="F1448" s="109"/>
      <c r="G1448" s="109"/>
    </row>
    <row r="1449" spans="1:7">
      <c r="A1449" s="83"/>
      <c r="B1449" s="106"/>
      <c r="C1449" s="107"/>
      <c r="D1449" s="86"/>
      <c r="E1449" s="108"/>
      <c r="F1449" s="109"/>
      <c r="G1449" s="109"/>
    </row>
    <row r="1450" spans="1:7">
      <c r="A1450" s="83"/>
      <c r="B1450" s="106"/>
      <c r="C1450" s="107"/>
      <c r="D1450" s="86"/>
      <c r="E1450" s="108"/>
      <c r="F1450" s="109"/>
      <c r="G1450" s="109"/>
    </row>
    <row r="1451" spans="1:7">
      <c r="A1451" s="83"/>
      <c r="B1451" s="106"/>
      <c r="C1451" s="107"/>
      <c r="D1451" s="86"/>
      <c r="E1451" s="108"/>
      <c r="F1451" s="109"/>
      <c r="G1451" s="109"/>
    </row>
    <row r="1452" spans="1:7">
      <c r="A1452" s="83"/>
      <c r="B1452" s="106"/>
      <c r="C1452" s="107"/>
      <c r="D1452" s="86"/>
      <c r="E1452" s="108"/>
      <c r="F1452" s="109"/>
      <c r="G1452" s="109"/>
    </row>
    <row r="1453" spans="1:7">
      <c r="A1453" s="83"/>
      <c r="B1453" s="106"/>
      <c r="C1453" s="107"/>
      <c r="D1453" s="86"/>
      <c r="E1453" s="108"/>
      <c r="F1453" s="109"/>
      <c r="G1453" s="109"/>
    </row>
    <row r="1454" spans="1:7">
      <c r="A1454" s="83"/>
      <c r="B1454" s="106"/>
      <c r="C1454" s="107"/>
      <c r="D1454" s="86"/>
      <c r="E1454" s="108"/>
      <c r="F1454" s="109"/>
      <c r="G1454" s="109"/>
    </row>
    <row r="1455" spans="1:7">
      <c r="A1455" s="83"/>
      <c r="B1455" s="106"/>
      <c r="C1455" s="107"/>
      <c r="D1455" s="86"/>
      <c r="E1455" s="108"/>
      <c r="F1455" s="109"/>
      <c r="G1455" s="109"/>
    </row>
    <row r="1456" spans="1:7">
      <c r="A1456" s="83"/>
      <c r="B1456" s="106"/>
      <c r="C1456" s="107"/>
      <c r="D1456" s="86"/>
      <c r="E1456" s="108"/>
      <c r="F1456" s="109"/>
      <c r="G1456" s="109"/>
    </row>
    <row r="1457" spans="1:7">
      <c r="A1457" s="83"/>
      <c r="B1457" s="106"/>
      <c r="C1457" s="107"/>
      <c r="D1457" s="86"/>
      <c r="E1457" s="108"/>
      <c r="F1457" s="109"/>
      <c r="G1457" s="109"/>
    </row>
    <row r="1458" spans="1:7">
      <c r="A1458" s="83"/>
      <c r="B1458" s="106"/>
      <c r="C1458" s="107"/>
      <c r="D1458" s="86"/>
      <c r="E1458" s="108"/>
      <c r="F1458" s="109"/>
      <c r="G1458" s="109"/>
    </row>
    <row r="1459" spans="1:7">
      <c r="A1459" s="83"/>
      <c r="B1459" s="106"/>
      <c r="C1459" s="107"/>
      <c r="D1459" s="86"/>
      <c r="E1459" s="108"/>
      <c r="F1459" s="109"/>
      <c r="G1459" s="109"/>
    </row>
    <row r="1460" spans="1:7">
      <c r="A1460" s="83"/>
      <c r="B1460" s="106"/>
      <c r="C1460" s="107"/>
      <c r="D1460" s="86"/>
      <c r="E1460" s="108"/>
      <c r="F1460" s="109"/>
      <c r="G1460" s="109"/>
    </row>
    <row r="1461" spans="1:7">
      <c r="A1461" s="83"/>
      <c r="B1461" s="106"/>
      <c r="C1461" s="107"/>
      <c r="D1461" s="86"/>
      <c r="E1461" s="108"/>
      <c r="F1461" s="109"/>
      <c r="G1461" s="109"/>
    </row>
    <row r="1462" spans="1:7">
      <c r="A1462" s="83"/>
      <c r="B1462" s="106"/>
      <c r="C1462" s="107"/>
      <c r="D1462" s="86"/>
      <c r="E1462" s="108"/>
      <c r="F1462" s="109"/>
      <c r="G1462" s="109"/>
    </row>
    <row r="1463" spans="1:7">
      <c r="A1463" s="83"/>
      <c r="B1463" s="106"/>
      <c r="C1463" s="107"/>
      <c r="D1463" s="86"/>
      <c r="E1463" s="108"/>
      <c r="F1463" s="109"/>
      <c r="G1463" s="109"/>
    </row>
    <row r="1464" spans="1:7">
      <c r="A1464" s="83"/>
      <c r="B1464" s="106"/>
      <c r="C1464" s="107"/>
      <c r="D1464" s="86"/>
      <c r="E1464" s="108"/>
      <c r="F1464" s="109"/>
      <c r="G1464" s="109"/>
    </row>
    <row r="1465" spans="1:7">
      <c r="A1465" s="83"/>
      <c r="B1465" s="106"/>
      <c r="C1465" s="107"/>
      <c r="D1465" s="86"/>
      <c r="E1465" s="108"/>
      <c r="F1465" s="109"/>
      <c r="G1465" s="109"/>
    </row>
    <row r="1466" spans="1:7">
      <c r="A1466" s="83"/>
      <c r="B1466" s="106"/>
      <c r="C1466" s="107"/>
      <c r="D1466" s="86"/>
      <c r="E1466" s="108"/>
      <c r="F1466" s="109"/>
      <c r="G1466" s="109"/>
    </row>
    <row r="1467" spans="1:7">
      <c r="A1467" s="83"/>
      <c r="B1467" s="106"/>
      <c r="C1467" s="107"/>
      <c r="D1467" s="86"/>
      <c r="E1467" s="108"/>
      <c r="F1467" s="109"/>
      <c r="G1467" s="109"/>
    </row>
    <row r="1468" spans="1:7">
      <c r="A1468" s="83"/>
      <c r="B1468" s="106"/>
      <c r="C1468" s="107"/>
      <c r="D1468" s="86"/>
      <c r="E1468" s="108"/>
      <c r="F1468" s="109"/>
      <c r="G1468" s="109"/>
    </row>
    <row r="1469" spans="1:7">
      <c r="A1469" s="83"/>
      <c r="B1469" s="106"/>
      <c r="C1469" s="107"/>
      <c r="D1469" s="86"/>
      <c r="E1469" s="108"/>
      <c r="F1469" s="109"/>
      <c r="G1469" s="109"/>
    </row>
    <row r="1470" spans="1:7">
      <c r="A1470" s="83"/>
      <c r="B1470" s="106"/>
      <c r="C1470" s="107"/>
      <c r="D1470" s="86"/>
      <c r="E1470" s="108"/>
      <c r="F1470" s="109"/>
      <c r="G1470" s="109"/>
    </row>
    <row r="1471" spans="1:7">
      <c r="A1471" s="83"/>
      <c r="B1471" s="106"/>
      <c r="C1471" s="107"/>
      <c r="D1471" s="86"/>
      <c r="E1471" s="108"/>
      <c r="F1471" s="109"/>
      <c r="G1471" s="109"/>
    </row>
    <row r="1472" spans="1:7">
      <c r="A1472" s="83"/>
      <c r="B1472" s="106"/>
      <c r="C1472" s="107"/>
      <c r="D1472" s="86"/>
      <c r="E1472" s="108"/>
      <c r="F1472" s="109"/>
      <c r="G1472" s="109"/>
    </row>
    <row r="1473" spans="1:7">
      <c r="A1473" s="83"/>
      <c r="B1473" s="106"/>
      <c r="C1473" s="107"/>
      <c r="D1473" s="86"/>
      <c r="E1473" s="108"/>
      <c r="F1473" s="109"/>
      <c r="G1473" s="109"/>
    </row>
    <row r="1474" spans="1:7">
      <c r="A1474" s="83"/>
      <c r="B1474" s="106"/>
      <c r="C1474" s="107"/>
      <c r="D1474" s="86"/>
      <c r="E1474" s="108"/>
      <c r="F1474" s="109"/>
      <c r="G1474" s="109"/>
    </row>
    <row r="1475" spans="1:7">
      <c r="A1475" s="83"/>
      <c r="B1475" s="106"/>
      <c r="C1475" s="107"/>
      <c r="D1475" s="86"/>
      <c r="E1475" s="108"/>
      <c r="F1475" s="109"/>
      <c r="G1475" s="109"/>
    </row>
    <row r="1476" spans="1:7">
      <c r="A1476" s="83"/>
      <c r="B1476" s="106"/>
      <c r="C1476" s="107"/>
      <c r="D1476" s="86"/>
      <c r="E1476" s="108"/>
      <c r="F1476" s="109"/>
      <c r="G1476" s="109"/>
    </row>
    <row r="1477" spans="1:7">
      <c r="A1477" s="83"/>
      <c r="B1477" s="106"/>
      <c r="C1477" s="107"/>
      <c r="D1477" s="86"/>
      <c r="E1477" s="108"/>
      <c r="F1477" s="109"/>
      <c r="G1477" s="109"/>
    </row>
    <row r="1478" spans="1:7">
      <c r="A1478" s="83"/>
      <c r="B1478" s="106"/>
      <c r="C1478" s="107"/>
      <c r="D1478" s="86"/>
      <c r="E1478" s="108"/>
      <c r="F1478" s="109"/>
      <c r="G1478" s="109"/>
    </row>
    <row r="1479" spans="1:7">
      <c r="A1479" s="83"/>
      <c r="B1479" s="106"/>
      <c r="C1479" s="107"/>
      <c r="D1479" s="86"/>
      <c r="E1479" s="108"/>
      <c r="F1479" s="109"/>
      <c r="G1479" s="109"/>
    </row>
    <row r="1480" spans="1:7">
      <c r="A1480" s="83"/>
      <c r="B1480" s="106"/>
      <c r="C1480" s="107"/>
      <c r="D1480" s="86"/>
      <c r="E1480" s="108"/>
      <c r="F1480" s="109"/>
      <c r="G1480" s="109"/>
    </row>
    <row r="1481" spans="1:7">
      <c r="A1481" s="83"/>
      <c r="B1481" s="106"/>
      <c r="C1481" s="107"/>
      <c r="D1481" s="86"/>
      <c r="E1481" s="108"/>
      <c r="F1481" s="109"/>
      <c r="G1481" s="109"/>
    </row>
    <row r="1482" spans="1:7">
      <c r="A1482" s="83"/>
      <c r="B1482" s="106"/>
      <c r="C1482" s="107"/>
      <c r="D1482" s="86"/>
      <c r="E1482" s="108"/>
      <c r="F1482" s="109"/>
      <c r="G1482" s="109"/>
    </row>
    <row r="1483" spans="1:7">
      <c r="A1483" s="83"/>
      <c r="B1483" s="106"/>
      <c r="C1483" s="107"/>
      <c r="D1483" s="86"/>
      <c r="E1483" s="108"/>
      <c r="F1483" s="109"/>
      <c r="G1483" s="109"/>
    </row>
    <row r="1484" spans="1:7">
      <c r="A1484" s="83"/>
      <c r="B1484" s="106"/>
      <c r="C1484" s="107"/>
      <c r="D1484" s="86"/>
      <c r="E1484" s="108"/>
      <c r="F1484" s="109"/>
      <c r="G1484" s="109"/>
    </row>
    <row r="1485" spans="1:7">
      <c r="A1485" s="83"/>
      <c r="B1485" s="106"/>
      <c r="C1485" s="107"/>
      <c r="D1485" s="86"/>
      <c r="E1485" s="108"/>
      <c r="F1485" s="109"/>
      <c r="G1485" s="109"/>
    </row>
    <row r="1486" spans="1:7">
      <c r="A1486" s="83"/>
      <c r="B1486" s="106"/>
      <c r="C1486" s="107"/>
      <c r="D1486" s="86"/>
      <c r="E1486" s="108"/>
      <c r="F1486" s="109"/>
      <c r="G1486" s="109"/>
    </row>
    <row r="1487" spans="1:7">
      <c r="A1487" s="83"/>
      <c r="B1487" s="106"/>
      <c r="C1487" s="107"/>
      <c r="D1487" s="86"/>
      <c r="E1487" s="108"/>
      <c r="F1487" s="109"/>
      <c r="G1487" s="109"/>
    </row>
    <row r="1488" spans="1:7">
      <c r="A1488" s="83"/>
      <c r="B1488" s="106"/>
      <c r="C1488" s="107"/>
      <c r="D1488" s="86"/>
      <c r="E1488" s="108"/>
      <c r="F1488" s="109"/>
      <c r="G1488" s="109"/>
    </row>
    <row r="1489" spans="1:7">
      <c r="A1489" s="83"/>
      <c r="B1489" s="106"/>
      <c r="C1489" s="107"/>
      <c r="D1489" s="86"/>
      <c r="E1489" s="108"/>
      <c r="F1489" s="109"/>
      <c r="G1489" s="109"/>
    </row>
    <row r="1490" spans="1:7">
      <c r="A1490" s="83"/>
      <c r="B1490" s="106"/>
      <c r="C1490" s="107"/>
      <c r="D1490" s="86"/>
      <c r="E1490" s="108"/>
      <c r="F1490" s="109"/>
      <c r="G1490" s="109"/>
    </row>
    <row r="1491" spans="1:7">
      <c r="A1491" s="83"/>
      <c r="B1491" s="106"/>
      <c r="C1491" s="107"/>
      <c r="D1491" s="86"/>
      <c r="E1491" s="108"/>
      <c r="F1491" s="109"/>
      <c r="G1491" s="109"/>
    </row>
    <row r="1492" spans="1:7">
      <c r="A1492" s="83"/>
      <c r="B1492" s="106"/>
      <c r="C1492" s="107"/>
      <c r="D1492" s="86"/>
      <c r="E1492" s="108"/>
      <c r="F1492" s="109"/>
      <c r="G1492" s="109"/>
    </row>
    <row r="1493" spans="1:7">
      <c r="A1493" s="83"/>
      <c r="B1493" s="106"/>
      <c r="C1493" s="107"/>
      <c r="D1493" s="86"/>
      <c r="E1493" s="108"/>
      <c r="F1493" s="109"/>
      <c r="G1493" s="109"/>
    </row>
    <row r="1494" spans="1:7">
      <c r="A1494" s="83"/>
      <c r="B1494" s="106"/>
      <c r="C1494" s="107"/>
      <c r="D1494" s="86"/>
      <c r="E1494" s="108"/>
      <c r="F1494" s="109"/>
      <c r="G1494" s="109"/>
    </row>
    <row r="1495" spans="1:7">
      <c r="A1495" s="83"/>
      <c r="B1495" s="106"/>
      <c r="C1495" s="107"/>
      <c r="D1495" s="86"/>
      <c r="E1495" s="108"/>
      <c r="F1495" s="109"/>
      <c r="G1495" s="109"/>
    </row>
    <row r="1496" spans="1:7">
      <c r="A1496" s="83"/>
      <c r="B1496" s="106"/>
      <c r="C1496" s="107"/>
      <c r="D1496" s="86"/>
      <c r="E1496" s="108"/>
      <c r="F1496" s="109"/>
      <c r="G1496" s="109"/>
    </row>
    <row r="1497" spans="1:7">
      <c r="A1497" s="83"/>
      <c r="B1497" s="106"/>
      <c r="C1497" s="107"/>
      <c r="D1497" s="86"/>
      <c r="E1497" s="108"/>
      <c r="F1497" s="109"/>
      <c r="G1497" s="109"/>
    </row>
    <row r="1498" spans="1:7">
      <c r="A1498" s="83"/>
      <c r="B1498" s="106"/>
      <c r="C1498" s="107"/>
      <c r="D1498" s="86"/>
      <c r="E1498" s="108"/>
      <c r="F1498" s="109"/>
      <c r="G1498" s="109"/>
    </row>
    <row r="1499" spans="1:7">
      <c r="A1499" s="83"/>
      <c r="B1499" s="106"/>
      <c r="C1499" s="107"/>
      <c r="D1499" s="86"/>
      <c r="E1499" s="108"/>
      <c r="F1499" s="109"/>
      <c r="G1499" s="109"/>
    </row>
    <row r="1500" spans="1:7">
      <c r="A1500" s="83"/>
      <c r="B1500" s="106"/>
      <c r="C1500" s="107"/>
      <c r="D1500" s="86"/>
      <c r="E1500" s="108"/>
      <c r="F1500" s="109"/>
      <c r="G1500" s="109"/>
    </row>
    <row r="1501" spans="1:7">
      <c r="A1501" s="83"/>
      <c r="B1501" s="106"/>
      <c r="C1501" s="107"/>
      <c r="D1501" s="86"/>
      <c r="E1501" s="108"/>
      <c r="F1501" s="109"/>
      <c r="G1501" s="109"/>
    </row>
    <row r="1502" spans="1:7">
      <c r="A1502" s="83"/>
      <c r="B1502" s="106"/>
      <c r="C1502" s="107"/>
      <c r="D1502" s="86"/>
      <c r="E1502" s="108"/>
      <c r="F1502" s="109"/>
      <c r="G1502" s="109"/>
    </row>
    <row r="1503" spans="1:7">
      <c r="A1503" s="83"/>
      <c r="B1503" s="106"/>
      <c r="C1503" s="107"/>
      <c r="D1503" s="86"/>
      <c r="E1503" s="108"/>
      <c r="F1503" s="109"/>
      <c r="G1503" s="109"/>
    </row>
    <row r="1504" spans="1:7">
      <c r="A1504" s="83"/>
      <c r="B1504" s="106"/>
      <c r="C1504" s="107"/>
      <c r="D1504" s="86"/>
      <c r="E1504" s="108"/>
      <c r="F1504" s="109"/>
      <c r="G1504" s="109"/>
    </row>
    <row r="1505" spans="1:7">
      <c r="A1505" s="83"/>
      <c r="B1505" s="106"/>
      <c r="C1505" s="107"/>
      <c r="D1505" s="86"/>
      <c r="E1505" s="108"/>
      <c r="F1505" s="109"/>
      <c r="G1505" s="109"/>
    </row>
    <row r="1506" spans="1:7">
      <c r="A1506" s="83"/>
      <c r="B1506" s="106"/>
      <c r="C1506" s="107"/>
      <c r="D1506" s="86"/>
      <c r="E1506" s="108"/>
      <c r="F1506" s="109"/>
      <c r="G1506" s="109"/>
    </row>
    <row r="1507" spans="1:7">
      <c r="A1507" s="83"/>
      <c r="B1507" s="106"/>
      <c r="C1507" s="107"/>
      <c r="D1507" s="86"/>
      <c r="E1507" s="108"/>
      <c r="F1507" s="109"/>
      <c r="G1507" s="109"/>
    </row>
    <row r="1508" spans="1:7">
      <c r="A1508" s="83"/>
      <c r="B1508" s="106"/>
      <c r="C1508" s="107"/>
      <c r="D1508" s="86"/>
      <c r="E1508" s="108"/>
      <c r="F1508" s="109"/>
      <c r="G1508" s="109"/>
    </row>
    <row r="1509" spans="1:7">
      <c r="A1509" s="83"/>
      <c r="B1509" s="106"/>
      <c r="C1509" s="107"/>
      <c r="D1509" s="86"/>
      <c r="E1509" s="108"/>
      <c r="F1509" s="109"/>
      <c r="G1509" s="109"/>
    </row>
    <row r="1510" spans="1:7">
      <c r="A1510" s="83"/>
      <c r="B1510" s="106"/>
      <c r="C1510" s="107"/>
      <c r="D1510" s="86"/>
      <c r="E1510" s="108"/>
      <c r="F1510" s="109"/>
      <c r="G1510" s="109"/>
    </row>
    <row r="1511" spans="1:7">
      <c r="A1511" s="83"/>
      <c r="B1511" s="106"/>
      <c r="C1511" s="107"/>
      <c r="D1511" s="86"/>
      <c r="E1511" s="108"/>
      <c r="F1511" s="109"/>
      <c r="G1511" s="109"/>
    </row>
    <row r="1512" spans="1:7">
      <c r="A1512" s="83"/>
      <c r="B1512" s="106"/>
      <c r="C1512" s="107"/>
      <c r="D1512" s="86"/>
      <c r="E1512" s="108"/>
      <c r="F1512" s="109"/>
      <c r="G1512" s="109"/>
    </row>
    <row r="1513" spans="1:7">
      <c r="A1513" s="83"/>
      <c r="B1513" s="106"/>
      <c r="C1513" s="107"/>
      <c r="D1513" s="86"/>
      <c r="E1513" s="108"/>
      <c r="F1513" s="109"/>
      <c r="G1513" s="109"/>
    </row>
    <row r="1514" spans="1:7">
      <c r="A1514" s="83"/>
      <c r="B1514" s="106"/>
      <c r="C1514" s="107"/>
      <c r="D1514" s="86"/>
      <c r="E1514" s="108"/>
      <c r="F1514" s="109"/>
      <c r="G1514" s="109"/>
    </row>
    <row r="1515" spans="1:7">
      <c r="A1515" s="83"/>
      <c r="B1515" s="106"/>
      <c r="C1515" s="107"/>
      <c r="D1515" s="86"/>
      <c r="E1515" s="108"/>
      <c r="F1515" s="109"/>
      <c r="G1515" s="109"/>
    </row>
    <row r="1516" spans="1:7">
      <c r="A1516" s="83"/>
      <c r="B1516" s="106"/>
      <c r="C1516" s="107"/>
      <c r="D1516" s="86"/>
      <c r="E1516" s="108"/>
      <c r="F1516" s="109"/>
      <c r="G1516" s="109"/>
    </row>
    <row r="1517" spans="1:7">
      <c r="A1517" s="83"/>
      <c r="B1517" s="106"/>
      <c r="C1517" s="107"/>
      <c r="D1517" s="86"/>
      <c r="E1517" s="108"/>
      <c r="F1517" s="109"/>
      <c r="G1517" s="109"/>
    </row>
    <row r="1518" spans="1:7">
      <c r="A1518" s="83"/>
      <c r="B1518" s="106"/>
      <c r="C1518" s="107"/>
      <c r="D1518" s="86"/>
      <c r="E1518" s="108"/>
      <c r="F1518" s="109"/>
      <c r="G1518" s="109"/>
    </row>
    <row r="1519" spans="1:7">
      <c r="A1519" s="83"/>
      <c r="B1519" s="106"/>
      <c r="C1519" s="107"/>
      <c r="D1519" s="86"/>
      <c r="E1519" s="108"/>
      <c r="F1519" s="109"/>
      <c r="G1519" s="109"/>
    </row>
    <row r="1520" spans="1:7">
      <c r="A1520" s="83"/>
      <c r="B1520" s="106"/>
      <c r="C1520" s="107"/>
      <c r="D1520" s="86"/>
      <c r="E1520" s="108"/>
      <c r="F1520" s="109"/>
      <c r="G1520" s="109"/>
    </row>
    <row r="1521" spans="1:7">
      <c r="A1521" s="83"/>
      <c r="B1521" s="106"/>
      <c r="C1521" s="107"/>
      <c r="D1521" s="86"/>
      <c r="E1521" s="108"/>
      <c r="F1521" s="109"/>
      <c r="G1521" s="109"/>
    </row>
    <row r="1522" spans="1:7">
      <c r="A1522" s="83"/>
      <c r="B1522" s="106"/>
      <c r="C1522" s="107"/>
      <c r="D1522" s="86"/>
      <c r="E1522" s="108"/>
      <c r="F1522" s="109"/>
      <c r="G1522" s="109"/>
    </row>
    <row r="1523" spans="1:7">
      <c r="A1523" s="83"/>
      <c r="B1523" s="106"/>
      <c r="C1523" s="107"/>
      <c r="D1523" s="86"/>
      <c r="E1523" s="108"/>
      <c r="F1523" s="109"/>
      <c r="G1523" s="109"/>
    </row>
    <row r="1524" spans="1:7">
      <c r="A1524" s="83"/>
      <c r="B1524" s="106"/>
      <c r="C1524" s="107"/>
      <c r="D1524" s="86"/>
      <c r="E1524" s="108"/>
      <c r="F1524" s="109"/>
      <c r="G1524" s="109"/>
    </row>
    <row r="1525" spans="1:7">
      <c r="A1525" s="83"/>
      <c r="B1525" s="106"/>
      <c r="C1525" s="107"/>
      <c r="D1525" s="86"/>
      <c r="E1525" s="108"/>
      <c r="F1525" s="109"/>
      <c r="G1525" s="109"/>
    </row>
    <row r="1526" spans="1:7">
      <c r="A1526" s="83"/>
      <c r="B1526" s="106"/>
      <c r="C1526" s="107"/>
      <c r="D1526" s="86"/>
      <c r="E1526" s="108"/>
      <c r="F1526" s="109"/>
      <c r="G1526" s="109"/>
    </row>
    <row r="1527" spans="1:7">
      <c r="A1527" s="83"/>
      <c r="B1527" s="106"/>
      <c r="C1527" s="107"/>
      <c r="D1527" s="86"/>
      <c r="E1527" s="108"/>
      <c r="F1527" s="109"/>
      <c r="G1527" s="109"/>
    </row>
    <row r="1528" spans="1:7">
      <c r="A1528" s="83"/>
      <c r="B1528" s="106"/>
      <c r="C1528" s="107"/>
      <c r="D1528" s="86"/>
      <c r="E1528" s="108"/>
      <c r="F1528" s="109"/>
      <c r="G1528" s="109"/>
    </row>
    <row r="1529" spans="1:7">
      <c r="A1529" s="83"/>
      <c r="B1529" s="106"/>
      <c r="C1529" s="107"/>
      <c r="D1529" s="86"/>
      <c r="E1529" s="108"/>
      <c r="F1529" s="109"/>
      <c r="G1529" s="109"/>
    </row>
    <row r="1530" spans="1:7">
      <c r="A1530" s="83"/>
      <c r="B1530" s="106"/>
      <c r="C1530" s="107"/>
      <c r="D1530" s="86"/>
      <c r="E1530" s="108"/>
      <c r="F1530" s="109"/>
      <c r="G1530" s="109"/>
    </row>
    <row r="1531" spans="1:7">
      <c r="A1531" s="83"/>
      <c r="B1531" s="106"/>
      <c r="C1531" s="107"/>
      <c r="D1531" s="86"/>
      <c r="E1531" s="108"/>
      <c r="F1531" s="109"/>
      <c r="G1531" s="109"/>
    </row>
    <row r="1532" spans="1:7">
      <c r="A1532" s="83"/>
      <c r="B1532" s="106"/>
      <c r="C1532" s="107"/>
      <c r="D1532" s="86"/>
      <c r="E1532" s="108"/>
      <c r="F1532" s="109"/>
      <c r="G1532" s="109"/>
    </row>
    <row r="1533" spans="1:7">
      <c r="A1533" s="83"/>
      <c r="B1533" s="106"/>
      <c r="C1533" s="107"/>
      <c r="D1533" s="86"/>
      <c r="E1533" s="108"/>
      <c r="F1533" s="109"/>
      <c r="G1533" s="109"/>
    </row>
    <row r="1534" spans="1:7">
      <c r="A1534" s="83"/>
      <c r="B1534" s="106"/>
      <c r="C1534" s="107"/>
      <c r="D1534" s="86"/>
      <c r="E1534" s="108"/>
      <c r="F1534" s="109"/>
      <c r="G1534" s="109"/>
    </row>
    <row r="1535" spans="1:7">
      <c r="A1535" s="83"/>
      <c r="B1535" s="106"/>
      <c r="C1535" s="107"/>
      <c r="D1535" s="86"/>
      <c r="E1535" s="108"/>
      <c r="F1535" s="109"/>
      <c r="G1535" s="109"/>
    </row>
    <row r="1536" spans="1:7">
      <c r="A1536" s="83"/>
      <c r="B1536" s="106"/>
      <c r="C1536" s="107"/>
      <c r="D1536" s="86"/>
      <c r="E1536" s="108"/>
      <c r="F1536" s="109"/>
      <c r="G1536" s="109"/>
    </row>
    <row r="1537" spans="1:7">
      <c r="A1537" s="83"/>
      <c r="B1537" s="106"/>
      <c r="C1537" s="107"/>
      <c r="D1537" s="86"/>
      <c r="E1537" s="108"/>
      <c r="F1537" s="109"/>
      <c r="G1537" s="109"/>
    </row>
    <row r="1538" spans="1:7">
      <c r="A1538" s="83"/>
      <c r="B1538" s="106"/>
      <c r="C1538" s="107"/>
      <c r="D1538" s="86"/>
      <c r="E1538" s="108"/>
      <c r="F1538" s="109"/>
      <c r="G1538" s="109"/>
    </row>
    <row r="1539" spans="1:7">
      <c r="A1539" s="83"/>
      <c r="B1539" s="106"/>
      <c r="C1539" s="107"/>
      <c r="D1539" s="86"/>
      <c r="E1539" s="108"/>
      <c r="F1539" s="109"/>
      <c r="G1539" s="109"/>
    </row>
    <row r="1540" spans="1:7">
      <c r="A1540" s="83"/>
      <c r="B1540" s="106"/>
      <c r="C1540" s="107"/>
      <c r="D1540" s="86"/>
      <c r="E1540" s="108"/>
      <c r="F1540" s="109"/>
      <c r="G1540" s="109"/>
    </row>
    <row r="1541" spans="1:7">
      <c r="A1541" s="83"/>
      <c r="B1541" s="106"/>
      <c r="C1541" s="107"/>
      <c r="D1541" s="86"/>
      <c r="E1541" s="108"/>
      <c r="F1541" s="109"/>
      <c r="G1541" s="109"/>
    </row>
    <row r="1542" spans="1:7">
      <c r="A1542" s="83"/>
      <c r="B1542" s="106"/>
      <c r="C1542" s="107"/>
      <c r="D1542" s="86"/>
      <c r="E1542" s="108"/>
      <c r="F1542" s="109"/>
      <c r="G1542" s="109"/>
    </row>
    <row r="1543" spans="1:7">
      <c r="A1543" s="83"/>
      <c r="B1543" s="106"/>
      <c r="C1543" s="107"/>
      <c r="D1543" s="86"/>
      <c r="E1543" s="108"/>
      <c r="F1543" s="109"/>
      <c r="G1543" s="109"/>
    </row>
    <row r="1544" spans="1:7">
      <c r="A1544" s="83"/>
      <c r="B1544" s="106"/>
      <c r="C1544" s="107"/>
      <c r="D1544" s="86"/>
      <c r="E1544" s="108"/>
      <c r="F1544" s="109"/>
      <c r="G1544" s="109"/>
    </row>
    <row r="1545" spans="1:7">
      <c r="A1545" s="83"/>
      <c r="B1545" s="106"/>
      <c r="C1545" s="107"/>
      <c r="D1545" s="86"/>
      <c r="E1545" s="108"/>
      <c r="F1545" s="109"/>
      <c r="G1545" s="109"/>
    </row>
    <row r="1546" spans="1:7">
      <c r="A1546" s="83"/>
      <c r="B1546" s="106"/>
      <c r="C1546" s="107"/>
      <c r="D1546" s="86"/>
      <c r="E1546" s="108"/>
      <c r="F1546" s="109"/>
      <c r="G1546" s="109"/>
    </row>
    <row r="1547" spans="1:7">
      <c r="A1547" s="83"/>
      <c r="B1547" s="106"/>
      <c r="C1547" s="107"/>
      <c r="D1547" s="86"/>
      <c r="E1547" s="108"/>
      <c r="F1547" s="109"/>
      <c r="G1547" s="109"/>
    </row>
    <row r="1548" spans="1:7">
      <c r="A1548" s="83"/>
      <c r="B1548" s="106"/>
      <c r="C1548" s="107"/>
      <c r="D1548" s="86"/>
      <c r="E1548" s="108"/>
      <c r="F1548" s="109"/>
      <c r="G1548" s="109"/>
    </row>
    <row r="1549" spans="1:7">
      <c r="A1549" s="83"/>
      <c r="B1549" s="106"/>
      <c r="C1549" s="107"/>
      <c r="D1549" s="86"/>
      <c r="E1549" s="108"/>
      <c r="F1549" s="109"/>
      <c r="G1549" s="109"/>
    </row>
    <row r="1550" spans="1:7">
      <c r="A1550" s="83"/>
      <c r="B1550" s="106"/>
      <c r="C1550" s="107"/>
      <c r="D1550" s="86"/>
      <c r="E1550" s="108"/>
      <c r="F1550" s="109"/>
      <c r="G1550" s="109"/>
    </row>
    <row r="1551" spans="1:7">
      <c r="A1551" s="83"/>
      <c r="B1551" s="106"/>
      <c r="C1551" s="107"/>
      <c r="D1551" s="86"/>
      <c r="E1551" s="108"/>
      <c r="F1551" s="109"/>
      <c r="G1551" s="109"/>
    </row>
    <row r="1552" spans="1:7">
      <c r="A1552" s="83"/>
      <c r="B1552" s="106"/>
      <c r="C1552" s="107"/>
      <c r="D1552" s="86"/>
      <c r="E1552" s="108"/>
      <c r="F1552" s="109"/>
      <c r="G1552" s="109"/>
    </row>
    <row r="1553" spans="1:7">
      <c r="A1553" s="83"/>
      <c r="B1553" s="106"/>
      <c r="C1553" s="107"/>
      <c r="D1553" s="86"/>
      <c r="E1553" s="108"/>
      <c r="F1553" s="109"/>
      <c r="G1553" s="109"/>
    </row>
    <row r="1554" spans="1:7">
      <c r="A1554" s="83"/>
      <c r="B1554" s="106"/>
      <c r="C1554" s="107"/>
      <c r="D1554" s="86"/>
      <c r="E1554" s="108"/>
      <c r="F1554" s="109"/>
      <c r="G1554" s="109"/>
    </row>
    <row r="1555" spans="1:7">
      <c r="A1555" s="83"/>
      <c r="B1555" s="106"/>
      <c r="C1555" s="107"/>
      <c r="D1555" s="86"/>
      <c r="E1555" s="108"/>
      <c r="F1555" s="109"/>
      <c r="G1555" s="109"/>
    </row>
    <row r="1556" spans="1:7">
      <c r="A1556" s="83"/>
      <c r="B1556" s="106"/>
      <c r="C1556" s="107"/>
      <c r="D1556" s="86"/>
      <c r="E1556" s="108"/>
      <c r="F1556" s="109"/>
      <c r="G1556" s="109"/>
    </row>
    <row r="1557" spans="1:7">
      <c r="A1557" s="83"/>
      <c r="B1557" s="106"/>
      <c r="C1557" s="107"/>
      <c r="D1557" s="86"/>
      <c r="E1557" s="108"/>
      <c r="F1557" s="109"/>
      <c r="G1557" s="109"/>
    </row>
    <row r="1558" spans="1:7">
      <c r="A1558" s="83"/>
      <c r="B1558" s="106"/>
      <c r="C1558" s="107"/>
      <c r="D1558" s="86"/>
      <c r="E1558" s="108"/>
      <c r="F1558" s="109"/>
      <c r="G1558" s="109"/>
    </row>
    <row r="1559" spans="1:7">
      <c r="A1559" s="83"/>
      <c r="B1559" s="106"/>
      <c r="C1559" s="107"/>
      <c r="D1559" s="86"/>
      <c r="E1559" s="108"/>
      <c r="F1559" s="109"/>
      <c r="G1559" s="109"/>
    </row>
    <row r="1560" spans="1:7">
      <c r="A1560" s="83"/>
      <c r="B1560" s="106"/>
      <c r="C1560" s="107"/>
      <c r="D1560" s="86"/>
      <c r="E1560" s="108"/>
      <c r="F1560" s="109"/>
      <c r="G1560" s="109"/>
    </row>
    <row r="1561" spans="1:7">
      <c r="A1561" s="83"/>
      <c r="B1561" s="106"/>
      <c r="C1561" s="107"/>
      <c r="D1561" s="86"/>
      <c r="E1561" s="108"/>
      <c r="F1561" s="109"/>
      <c r="G1561" s="109"/>
    </row>
  </sheetData>
  <mergeCells count="22">
    <mergeCell ref="B400:G400"/>
    <mergeCell ref="C18:E18"/>
    <mergeCell ref="A372:F372"/>
    <mergeCell ref="A385:F385"/>
    <mergeCell ref="B396:G396"/>
    <mergeCell ref="B399:G399"/>
    <mergeCell ref="E389:G389"/>
    <mergeCell ref="D391:G391"/>
    <mergeCell ref="D392:G392"/>
    <mergeCell ref="A387:F387"/>
    <mergeCell ref="A18:B18"/>
    <mergeCell ref="A12:G12"/>
    <mergeCell ref="A13:B13"/>
    <mergeCell ref="C13:G13"/>
    <mergeCell ref="A14:B14"/>
    <mergeCell ref="C14:G14"/>
    <mergeCell ref="A15:B15"/>
    <mergeCell ref="C15:G15"/>
    <mergeCell ref="A16:B16"/>
    <mergeCell ref="C16:G16"/>
    <mergeCell ref="A17:B17"/>
    <mergeCell ref="C17:G17"/>
  </mergeCells>
  <printOptions horizontalCentered="1"/>
  <pageMargins left="0.70866141732283472" right="0.70866141732283472" top="0.74803149606299213" bottom="0.74803149606299213" header="0.31496062992125984" footer="0.31496062992125984"/>
  <pageSetup scale="49" fitToHeight="0" orientation="portrait" r:id="rId1"/>
  <headerFooter>
    <oddHeader>&amp;C&amp;P</oddHeader>
  </headerFooter>
  <rowBreaks count="6" manualBreakCount="6">
    <brk id="51" max="6" man="1"/>
    <brk id="103" max="6" man="1"/>
    <brk id="151" max="6" man="1"/>
    <brk id="213" max="6" man="1"/>
    <brk id="268" max="6" man="1"/>
    <brk id="316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966"/>
  <sheetViews>
    <sheetView topLeftCell="A584" workbookViewId="0">
      <selection activeCell="E650" sqref="E650:E652"/>
    </sheetView>
  </sheetViews>
  <sheetFormatPr baseColWidth="10" defaultRowHeight="15"/>
  <cols>
    <col min="2" max="2" width="45.5703125" customWidth="1"/>
    <col min="5" max="5" width="12.5703125" style="73" bestFit="1" customWidth="1"/>
    <col min="6" max="6" width="11.42578125" style="73"/>
    <col min="7" max="7" width="14.85546875" customWidth="1"/>
  </cols>
  <sheetData>
    <row r="1" spans="1:8">
      <c r="A1" s="372"/>
      <c r="B1" s="372"/>
      <c r="C1" s="372"/>
      <c r="D1" s="372"/>
      <c r="E1" s="372"/>
      <c r="F1" s="372"/>
      <c r="G1" s="372"/>
      <c r="H1" s="372"/>
    </row>
    <row r="3" spans="1:8">
      <c r="A3" s="53">
        <v>1</v>
      </c>
      <c r="B3" s="53" t="s">
        <v>7</v>
      </c>
      <c r="C3" s="54"/>
      <c r="D3" s="54"/>
      <c r="E3" s="72"/>
      <c r="F3" s="72"/>
      <c r="G3" s="54"/>
      <c r="H3" s="54"/>
    </row>
    <row r="4" spans="1:8">
      <c r="B4" s="55"/>
    </row>
    <row r="5" spans="1:8">
      <c r="A5" s="4"/>
      <c r="B5" s="370" t="s">
        <v>8</v>
      </c>
      <c r="C5" s="370"/>
      <c r="D5" s="370"/>
      <c r="E5" s="370"/>
      <c r="F5" s="370"/>
      <c r="G5" s="370"/>
      <c r="H5" s="370"/>
    </row>
    <row r="6" spans="1:8">
      <c r="A6" s="6"/>
      <c r="B6" s="7"/>
      <c r="C6" s="8" t="s">
        <v>98</v>
      </c>
      <c r="D6" s="9" t="s">
        <v>39</v>
      </c>
      <c r="E6" s="74" t="s">
        <v>99</v>
      </c>
      <c r="F6" s="75" t="s">
        <v>100</v>
      </c>
      <c r="G6" s="11" t="s">
        <v>101</v>
      </c>
      <c r="H6" s="12"/>
    </row>
    <row r="7" spans="1:8">
      <c r="A7" s="13"/>
      <c r="B7" s="56" t="s">
        <v>8</v>
      </c>
      <c r="C7" s="57">
        <v>1</v>
      </c>
      <c r="D7" s="57" t="s">
        <v>21</v>
      </c>
      <c r="E7" s="76">
        <v>44</v>
      </c>
      <c r="F7" s="76"/>
      <c r="G7" s="17">
        <f>+C7*E7+C7*F7</f>
        <v>44</v>
      </c>
      <c r="H7" s="18"/>
    </row>
    <row r="8" spans="1:8">
      <c r="A8" s="13"/>
      <c r="B8" s="58"/>
      <c r="C8" s="59"/>
      <c r="D8" s="59"/>
      <c r="E8" s="77"/>
      <c r="F8" s="77"/>
      <c r="G8" s="17"/>
      <c r="H8" s="18"/>
    </row>
    <row r="9" spans="1:8" ht="15.75" thickBot="1">
      <c r="A9" s="21"/>
      <c r="B9" s="22"/>
      <c r="C9" s="23"/>
      <c r="D9" s="24" t="s">
        <v>111</v>
      </c>
      <c r="E9" s="78"/>
      <c r="F9" s="79"/>
      <c r="G9" s="26">
        <f>SUM(G7:G8)</f>
        <v>44</v>
      </c>
      <c r="H9" s="27" t="str">
        <f>+D7</f>
        <v>m2</v>
      </c>
    </row>
    <row r="10" spans="1:8" ht="15.75" thickTop="1">
      <c r="B10" s="55"/>
    </row>
    <row r="11" spans="1:8">
      <c r="A11" s="4"/>
      <c r="B11" s="370" t="s">
        <v>10</v>
      </c>
      <c r="C11" s="370"/>
      <c r="D11" s="370"/>
      <c r="E11" s="370"/>
      <c r="F11" s="370"/>
      <c r="G11" s="370"/>
      <c r="H11" s="370"/>
    </row>
    <row r="12" spans="1:8">
      <c r="A12" s="6"/>
      <c r="B12" s="7"/>
      <c r="C12" s="8" t="s">
        <v>98</v>
      </c>
      <c r="D12" s="9" t="s">
        <v>39</v>
      </c>
      <c r="E12" s="74" t="s">
        <v>99</v>
      </c>
      <c r="F12" s="75" t="s">
        <v>100</v>
      </c>
      <c r="G12" s="11" t="s">
        <v>101</v>
      </c>
      <c r="H12" s="12"/>
    </row>
    <row r="13" spans="1:8">
      <c r="A13" s="13"/>
      <c r="B13" s="56" t="s">
        <v>1485</v>
      </c>
      <c r="C13" s="57">
        <v>1</v>
      </c>
      <c r="D13" s="57" t="s">
        <v>1486</v>
      </c>
      <c r="E13" s="76">
        <v>25000</v>
      </c>
      <c r="F13" s="76"/>
      <c r="G13" s="17">
        <f>+C13*E13+C13*F13</f>
        <v>25000</v>
      </c>
      <c r="H13" s="18"/>
    </row>
    <row r="14" spans="1:8">
      <c r="A14" s="13"/>
      <c r="B14" s="58"/>
      <c r="C14" s="59"/>
      <c r="D14" s="59"/>
      <c r="E14" s="77"/>
      <c r="F14" s="77"/>
      <c r="G14" s="17"/>
      <c r="H14" s="18"/>
    </row>
    <row r="15" spans="1:8" ht="15.75" thickBot="1">
      <c r="A15" s="21"/>
      <c r="B15" s="22"/>
      <c r="C15" s="23"/>
      <c r="D15" s="24" t="s">
        <v>111</v>
      </c>
      <c r="E15" s="78"/>
      <c r="F15" s="79"/>
      <c r="G15" s="26">
        <f>SUM(G13:G14)</f>
        <v>25000</v>
      </c>
      <c r="H15" s="27" t="str">
        <f>+D13</f>
        <v>Visita</v>
      </c>
    </row>
    <row r="16" spans="1:8" ht="15.75" thickTop="1">
      <c r="B16" s="55"/>
    </row>
    <row r="17" spans="1:8">
      <c r="A17" s="4"/>
      <c r="B17" s="370" t="s">
        <v>13</v>
      </c>
      <c r="C17" s="370"/>
      <c r="D17" s="370"/>
      <c r="E17" s="370"/>
      <c r="F17" s="370"/>
      <c r="G17" s="370"/>
      <c r="H17" s="370"/>
    </row>
    <row r="18" spans="1:8">
      <c r="A18" s="6"/>
      <c r="B18" s="7"/>
      <c r="C18" s="8" t="s">
        <v>98</v>
      </c>
      <c r="D18" s="9" t="s">
        <v>39</v>
      </c>
      <c r="E18" s="74" t="s">
        <v>99</v>
      </c>
      <c r="F18" s="75" t="s">
        <v>100</v>
      </c>
      <c r="G18" s="11" t="s">
        <v>101</v>
      </c>
      <c r="H18" s="12"/>
    </row>
    <row r="19" spans="1:8">
      <c r="A19" s="13"/>
      <c r="B19" s="60" t="str">
        <f>+B17</f>
        <v>Letrero en obra</v>
      </c>
      <c r="C19" s="57">
        <v>1</v>
      </c>
      <c r="D19" s="57" t="s">
        <v>40</v>
      </c>
      <c r="E19" s="76">
        <f>20000/1.18</f>
        <v>16949.152542372882</v>
      </c>
      <c r="F19" s="76">
        <f>+E19*0.18</f>
        <v>3050.8474576271187</v>
      </c>
      <c r="G19" s="17">
        <f>+C19*E19+C19*F19</f>
        <v>20000</v>
      </c>
      <c r="H19" s="18"/>
    </row>
    <row r="20" spans="1:8">
      <c r="A20" s="13"/>
      <c r="B20" s="56"/>
      <c r="C20" s="57"/>
      <c r="D20" s="57"/>
      <c r="E20" s="76"/>
      <c r="F20" s="76"/>
      <c r="G20" s="17"/>
      <c r="H20" s="18"/>
    </row>
    <row r="21" spans="1:8">
      <c r="A21" s="13"/>
      <c r="B21" s="56"/>
      <c r="C21" s="57"/>
      <c r="D21" s="57"/>
      <c r="E21" s="76"/>
      <c r="F21" s="76"/>
      <c r="G21" s="17"/>
      <c r="H21" s="18"/>
    </row>
    <row r="22" spans="1:8">
      <c r="A22" s="13"/>
      <c r="B22" s="58"/>
      <c r="C22" s="59"/>
      <c r="D22" s="59"/>
      <c r="E22" s="77"/>
      <c r="F22" s="77"/>
      <c r="G22" s="17"/>
      <c r="H22" s="18"/>
    </row>
    <row r="23" spans="1:8" ht="15.75" thickBot="1">
      <c r="A23" s="21"/>
      <c r="B23" s="22"/>
      <c r="C23" s="23"/>
      <c r="D23" s="24" t="s">
        <v>111</v>
      </c>
      <c r="E23" s="78"/>
      <c r="F23" s="79"/>
      <c r="G23" s="26">
        <v>20000</v>
      </c>
      <c r="H23" s="27" t="s">
        <v>40</v>
      </c>
    </row>
    <row r="24" spans="1:8" ht="15.75" thickTop="1">
      <c r="B24" s="55"/>
    </row>
    <row r="25" spans="1:8" ht="15" customHeight="1">
      <c r="A25" s="4"/>
      <c r="B25" s="370" t="s">
        <v>1488</v>
      </c>
      <c r="C25" s="370"/>
      <c r="D25" s="370"/>
      <c r="E25" s="370"/>
      <c r="F25" s="370"/>
      <c r="G25" s="370"/>
      <c r="H25" s="370"/>
    </row>
    <row r="26" spans="1:8">
      <c r="A26" s="6"/>
      <c r="B26" s="7"/>
      <c r="C26" s="8" t="s">
        <v>98</v>
      </c>
      <c r="D26" s="9" t="s">
        <v>39</v>
      </c>
      <c r="E26" s="74" t="s">
        <v>99</v>
      </c>
      <c r="F26" s="75" t="s">
        <v>100</v>
      </c>
      <c r="G26" s="11" t="s">
        <v>101</v>
      </c>
      <c r="H26" s="12"/>
    </row>
    <row r="27" spans="1:8">
      <c r="A27" s="13"/>
      <c r="B27" s="60" t="str">
        <f>+B25</f>
        <v>Caseta de materiales</v>
      </c>
      <c r="C27" s="57">
        <v>1</v>
      </c>
      <c r="D27" s="57" t="s">
        <v>1492</v>
      </c>
      <c r="E27" s="76">
        <f>57000/1.18</f>
        <v>48305.084745762717</v>
      </c>
      <c r="F27" s="76">
        <f>+E27*0.18</f>
        <v>8694.9152542372885</v>
      </c>
      <c r="G27" s="17">
        <f>+C27*E27+C27*F27</f>
        <v>57000.000000000007</v>
      </c>
      <c r="H27" s="18"/>
    </row>
    <row r="28" spans="1:8">
      <c r="A28" s="13"/>
      <c r="B28" s="56"/>
      <c r="C28" s="57"/>
      <c r="D28" s="57"/>
      <c r="E28" s="76"/>
      <c r="F28" s="76"/>
      <c r="G28" s="17"/>
      <c r="H28" s="18"/>
    </row>
    <row r="29" spans="1:8">
      <c r="A29" s="13"/>
      <c r="B29" s="58"/>
      <c r="C29" s="59"/>
      <c r="D29" s="59"/>
      <c r="E29" s="77"/>
      <c r="F29" s="77"/>
      <c r="G29" s="17"/>
      <c r="H29" s="18"/>
    </row>
    <row r="30" spans="1:8" ht="15.75" thickBot="1">
      <c r="A30" s="21"/>
      <c r="B30" s="22"/>
      <c r="C30" s="23"/>
      <c r="D30" s="24" t="s">
        <v>111</v>
      </c>
      <c r="E30" s="78"/>
      <c r="F30" s="79"/>
      <c r="G30" s="26">
        <f>SUM(G27:G29)</f>
        <v>57000.000000000007</v>
      </c>
      <c r="H30" s="27" t="s">
        <v>40</v>
      </c>
    </row>
    <row r="31" spans="1:8" ht="15.75" thickTop="1">
      <c r="B31" s="55"/>
    </row>
    <row r="32" spans="1:8">
      <c r="A32" s="4"/>
      <c r="B32" s="370" t="e">
        <f>#REF!</f>
        <v>#REF!</v>
      </c>
      <c r="C32" s="370"/>
      <c r="D32" s="370"/>
      <c r="E32" s="370"/>
      <c r="F32" s="370"/>
      <c r="G32" s="370"/>
      <c r="H32" s="370"/>
    </row>
    <row r="33" spans="1:8">
      <c r="A33" s="6"/>
      <c r="B33" s="7"/>
      <c r="C33" s="8" t="s">
        <v>98</v>
      </c>
      <c r="D33" s="9" t="s">
        <v>39</v>
      </c>
      <c r="E33" s="74" t="s">
        <v>99</v>
      </c>
      <c r="F33" s="75" t="s">
        <v>100</v>
      </c>
      <c r="G33" s="11" t="s">
        <v>101</v>
      </c>
      <c r="H33" s="12"/>
    </row>
    <row r="34" spans="1:8">
      <c r="A34" s="13"/>
      <c r="B34" s="56" t="s">
        <v>11</v>
      </c>
      <c r="C34" s="57">
        <v>1</v>
      </c>
      <c r="D34" s="57" t="s">
        <v>12</v>
      </c>
      <c r="E34" s="76">
        <v>55000</v>
      </c>
      <c r="F34" s="76"/>
      <c r="G34" s="17">
        <f>+C34*E34+C34*F34</f>
        <v>55000</v>
      </c>
      <c r="H34" s="18"/>
    </row>
    <row r="35" spans="1:8">
      <c r="A35" s="13"/>
      <c r="B35" s="58"/>
      <c r="C35" s="59"/>
      <c r="D35" s="59"/>
      <c r="E35" s="77"/>
      <c r="F35" s="77"/>
      <c r="G35" s="17"/>
      <c r="H35" s="18"/>
    </row>
    <row r="36" spans="1:8" ht="15.75" thickBot="1">
      <c r="A36" s="21"/>
      <c r="B36" s="22"/>
      <c r="C36" s="23"/>
      <c r="D36" s="24" t="s">
        <v>111</v>
      </c>
      <c r="E36" s="78"/>
      <c r="F36" s="79"/>
      <c r="G36" s="26">
        <f>SUM(G34:G35)</f>
        <v>55000</v>
      </c>
      <c r="H36" s="27" t="str">
        <f>+D34</f>
        <v>PA</v>
      </c>
    </row>
    <row r="37" spans="1:8" ht="12.75" customHeight="1" thickTop="1">
      <c r="C37" s="68"/>
    </row>
    <row r="38" spans="1:8" ht="12.75" customHeight="1">
      <c r="A38" s="4"/>
      <c r="B38" s="370" t="e">
        <f>#REF!</f>
        <v>#REF!</v>
      </c>
      <c r="C38" s="370"/>
      <c r="D38" s="370"/>
      <c r="E38" s="370"/>
      <c r="F38" s="370"/>
      <c r="G38" s="370"/>
      <c r="H38" s="370"/>
    </row>
    <row r="39" spans="1:8" ht="12.75" customHeight="1">
      <c r="A39" s="6"/>
      <c r="B39" s="7"/>
      <c r="C39" s="69" t="s">
        <v>98</v>
      </c>
      <c r="D39" s="9" t="s">
        <v>39</v>
      </c>
      <c r="E39" s="74" t="s">
        <v>99</v>
      </c>
      <c r="F39" s="75" t="s">
        <v>100</v>
      </c>
      <c r="G39" s="11" t="s">
        <v>101</v>
      </c>
      <c r="H39" s="12"/>
    </row>
    <row r="40" spans="1:8" ht="12.75" customHeight="1">
      <c r="A40" s="13"/>
      <c r="B40" s="56" t="s">
        <v>1637</v>
      </c>
      <c r="C40" s="70">
        <v>30</v>
      </c>
      <c r="D40" s="57" t="s">
        <v>1638</v>
      </c>
      <c r="E40" s="76">
        <v>358.33</v>
      </c>
      <c r="F40" s="76"/>
      <c r="G40" s="17">
        <f>+C40*E40+C40*F40</f>
        <v>10749.9</v>
      </c>
      <c r="H40" s="18"/>
    </row>
    <row r="41" spans="1:8" ht="12.75" customHeight="1">
      <c r="A41" s="13"/>
      <c r="B41" s="56" t="s">
        <v>1639</v>
      </c>
      <c r="C41" s="70">
        <v>120</v>
      </c>
      <c r="D41" s="57" t="s">
        <v>1638</v>
      </c>
      <c r="E41" s="76">
        <v>123.44</v>
      </c>
      <c r="F41" s="76"/>
      <c r="G41" s="17">
        <f>+C41*E41+C41*F41</f>
        <v>14812.8</v>
      </c>
      <c r="H41" s="18"/>
    </row>
    <row r="42" spans="1:8" ht="12.75" customHeight="1">
      <c r="A42" s="13"/>
      <c r="B42" s="56" t="s">
        <v>1835</v>
      </c>
      <c r="C42" s="70">
        <v>0.1</v>
      </c>
      <c r="D42" s="57" t="s">
        <v>47</v>
      </c>
      <c r="E42" s="76">
        <f>SUM(G40:G41)</f>
        <v>25562.699999999997</v>
      </c>
      <c r="F42" s="76"/>
      <c r="G42" s="17">
        <f>+C42*E42+C42*F42</f>
        <v>2556.27</v>
      </c>
      <c r="H42" s="18"/>
    </row>
    <row r="43" spans="1:8" ht="15.75" thickBot="1">
      <c r="A43" s="21"/>
      <c r="B43" s="22"/>
      <c r="C43" s="71"/>
      <c r="D43" s="24" t="s">
        <v>111</v>
      </c>
      <c r="E43" s="78"/>
      <c r="F43" s="79"/>
      <c r="G43" s="26">
        <f>SUM(G40:G42)</f>
        <v>28118.969999999998</v>
      </c>
      <c r="H43" s="27" t="s">
        <v>12</v>
      </c>
    </row>
    <row r="44" spans="1:8" ht="15.75" thickTop="1">
      <c r="B44" s="55"/>
    </row>
    <row r="45" spans="1:8" ht="15.75" thickTop="1">
      <c r="A45" s="4"/>
      <c r="B45" s="370" t="e">
        <f>#REF!</f>
        <v>#REF!</v>
      </c>
      <c r="C45" s="370"/>
      <c r="D45" s="370"/>
      <c r="E45" s="370"/>
      <c r="F45" s="370"/>
      <c r="G45" s="370"/>
      <c r="H45" s="370"/>
    </row>
    <row r="46" spans="1:8">
      <c r="A46" s="6"/>
      <c r="B46" s="7"/>
      <c r="C46" s="8" t="s">
        <v>98</v>
      </c>
      <c r="D46" s="9" t="s">
        <v>39</v>
      </c>
      <c r="E46" s="74" t="s">
        <v>99</v>
      </c>
      <c r="F46" s="75" t="s">
        <v>100</v>
      </c>
      <c r="G46" s="11" t="s">
        <v>101</v>
      </c>
      <c r="H46" s="12"/>
    </row>
    <row r="47" spans="1:8">
      <c r="A47" s="13"/>
      <c r="B47" s="56" t="s">
        <v>1487</v>
      </c>
      <c r="C47" s="57">
        <v>1</v>
      </c>
      <c r="D47" s="57" t="s">
        <v>21</v>
      </c>
      <c r="E47" s="76">
        <f>65/1.18</f>
        <v>55.084745762711869</v>
      </c>
      <c r="F47" s="76">
        <f>+E47*0.18</f>
        <v>9.9152542372881367</v>
      </c>
      <c r="G47" s="17">
        <f>+C47*E47+C47*F47</f>
        <v>65</v>
      </c>
      <c r="H47" s="18"/>
    </row>
    <row r="48" spans="1:8">
      <c r="A48" s="13"/>
      <c r="B48" s="58"/>
      <c r="C48" s="59"/>
      <c r="D48" s="59"/>
      <c r="E48" s="77"/>
      <c r="F48" s="77"/>
      <c r="G48" s="17"/>
      <c r="H48" s="18"/>
    </row>
    <row r="49" spans="1:8" ht="15.75" thickBot="1">
      <c r="A49" s="21"/>
      <c r="B49" s="22"/>
      <c r="C49" s="23"/>
      <c r="D49" s="24" t="s">
        <v>111</v>
      </c>
      <c r="E49" s="78"/>
      <c r="F49" s="79"/>
      <c r="G49" s="26">
        <f>SUM(G47:G48)</f>
        <v>65</v>
      </c>
      <c r="H49" s="27" t="str">
        <f>+D47</f>
        <v>m2</v>
      </c>
    </row>
    <row r="50" spans="1:8" ht="15.75" thickTop="1"/>
    <row r="51" spans="1:8">
      <c r="A51" s="53"/>
      <c r="B51" s="53" t="s">
        <v>1489</v>
      </c>
      <c r="C51" s="54"/>
      <c r="D51" s="54"/>
      <c r="E51" s="72"/>
      <c r="F51" s="72"/>
      <c r="G51" s="54"/>
      <c r="H51" s="54"/>
    </row>
    <row r="52" spans="1:8">
      <c r="B52" s="55"/>
    </row>
    <row r="53" spans="1:8">
      <c r="A53" s="4"/>
      <c r="B53" s="370" t="s">
        <v>1490</v>
      </c>
      <c r="C53" s="370"/>
      <c r="D53" s="370"/>
      <c r="E53" s="370"/>
      <c r="F53" s="370"/>
      <c r="G53" s="370"/>
      <c r="H53" s="370"/>
    </row>
    <row r="54" spans="1:8">
      <c r="A54" s="6"/>
      <c r="B54" s="7"/>
      <c r="C54" s="8" t="s">
        <v>98</v>
      </c>
      <c r="D54" s="9" t="s">
        <v>39</v>
      </c>
      <c r="E54" s="74" t="s">
        <v>99</v>
      </c>
      <c r="F54" s="75" t="s">
        <v>100</v>
      </c>
      <c r="G54" s="11" t="s">
        <v>101</v>
      </c>
      <c r="H54" s="12"/>
    </row>
    <row r="55" spans="1:8">
      <c r="A55" s="13"/>
      <c r="B55" s="60" t="s">
        <v>1896</v>
      </c>
      <c r="C55" s="57">
        <v>1314.41</v>
      </c>
      <c r="D55" s="57" t="s">
        <v>9</v>
      </c>
      <c r="E55" s="76"/>
      <c r="F55" s="76"/>
      <c r="G55" s="17"/>
      <c r="H55" s="18"/>
    </row>
    <row r="56" spans="1:8">
      <c r="A56" s="13"/>
      <c r="B56" s="60"/>
      <c r="C56" s="57"/>
      <c r="D56" s="57"/>
      <c r="E56" s="76"/>
      <c r="F56" s="76"/>
      <c r="G56" s="17"/>
      <c r="H56" s="18"/>
    </row>
    <row r="57" spans="1:8">
      <c r="A57" s="13"/>
      <c r="B57" s="60" t="s">
        <v>1637</v>
      </c>
      <c r="C57" s="57">
        <v>4</v>
      </c>
      <c r="D57" s="57" t="s">
        <v>1899</v>
      </c>
      <c r="E57" s="76">
        <v>358.33</v>
      </c>
      <c r="F57" s="76"/>
      <c r="G57" s="17">
        <f>+C57*E57+C57*F57</f>
        <v>1433.32</v>
      </c>
      <c r="H57" s="18"/>
    </row>
    <row r="58" spans="1:8">
      <c r="A58" s="13"/>
      <c r="B58" s="60" t="s">
        <v>1897</v>
      </c>
      <c r="C58" s="57">
        <v>4</v>
      </c>
      <c r="D58" s="57" t="s">
        <v>1899</v>
      </c>
      <c r="E58" s="76">
        <f>7822.29/1.18</f>
        <v>6629.0593220338988</v>
      </c>
      <c r="F58" s="76">
        <f>+E58*0.18</f>
        <v>1193.2306779661017</v>
      </c>
      <c r="G58" s="17">
        <f t="shared" ref="G58:G59" si="0">+C58*E58+C58*F58</f>
        <v>31289.160000000003</v>
      </c>
      <c r="H58" s="18"/>
    </row>
    <row r="59" spans="1:8">
      <c r="A59" s="13"/>
      <c r="B59" s="60" t="s">
        <v>1898</v>
      </c>
      <c r="C59" s="57">
        <v>8</v>
      </c>
      <c r="D59" s="57" t="s">
        <v>1899</v>
      </c>
      <c r="E59" s="76">
        <v>123.44</v>
      </c>
      <c r="F59" s="76"/>
      <c r="G59" s="17">
        <f t="shared" si="0"/>
        <v>987.52</v>
      </c>
      <c r="H59" s="18"/>
    </row>
    <row r="60" spans="1:8">
      <c r="A60" s="13"/>
      <c r="B60" s="60"/>
      <c r="C60" s="57"/>
      <c r="D60" s="57"/>
      <c r="E60" s="76"/>
      <c r="F60" s="76"/>
      <c r="G60" s="17"/>
      <c r="H60" s="18"/>
    </row>
    <row r="61" spans="1:8" ht="15.75" thickBot="1">
      <c r="A61" s="21"/>
      <c r="B61" s="22"/>
      <c r="C61" s="23"/>
      <c r="D61" s="24" t="s">
        <v>111</v>
      </c>
      <c r="E61" s="78"/>
      <c r="F61" s="79"/>
      <c r="G61" s="26">
        <f>SUM(G55:G60)</f>
        <v>33710</v>
      </c>
      <c r="H61" s="27" t="s">
        <v>12</v>
      </c>
    </row>
    <row r="62" spans="1:8" ht="12.75" customHeight="1" thickTop="1">
      <c r="C62" s="68"/>
    </row>
    <row r="63" spans="1:8" ht="12.75" customHeight="1">
      <c r="A63" s="4"/>
      <c r="B63" s="370" t="e">
        <f>#REF!</f>
        <v>#REF!</v>
      </c>
      <c r="C63" s="370"/>
      <c r="D63" s="370"/>
      <c r="E63" s="370"/>
      <c r="F63" s="370"/>
      <c r="G63" s="370"/>
      <c r="H63" s="370"/>
    </row>
    <row r="64" spans="1:8" ht="12.75" customHeight="1">
      <c r="A64" s="6"/>
      <c r="B64" s="7"/>
      <c r="C64" s="69" t="s">
        <v>98</v>
      </c>
      <c r="D64" s="9" t="s">
        <v>39</v>
      </c>
      <c r="E64" s="74" t="s">
        <v>99</v>
      </c>
      <c r="F64" s="75" t="s">
        <v>100</v>
      </c>
      <c r="G64" s="11" t="s">
        <v>101</v>
      </c>
      <c r="H64" s="12"/>
    </row>
    <row r="65" spans="1:8" ht="12.75" customHeight="1">
      <c r="A65" s="13"/>
      <c r="B65" s="56" t="s">
        <v>1637</v>
      </c>
      <c r="C65" s="70">
        <v>0.6</v>
      </c>
      <c r="D65" s="57" t="s">
        <v>1638</v>
      </c>
      <c r="E65" s="76">
        <v>358.33</v>
      </c>
      <c r="F65" s="76"/>
      <c r="G65" s="17">
        <f>+C65*E65+C65*F65</f>
        <v>214.99799999999999</v>
      </c>
      <c r="H65" s="18"/>
    </row>
    <row r="66" spans="1:8" ht="12.75" customHeight="1">
      <c r="A66" s="13"/>
      <c r="B66" s="56" t="s">
        <v>1639</v>
      </c>
      <c r="C66" s="70">
        <v>2.4</v>
      </c>
      <c r="D66" s="57" t="s">
        <v>1638</v>
      </c>
      <c r="E66" s="76">
        <v>123.44</v>
      </c>
      <c r="F66" s="76"/>
      <c r="G66" s="17">
        <f>+C66*E66+C66*F66</f>
        <v>296.25599999999997</v>
      </c>
      <c r="H66" s="18"/>
    </row>
    <row r="67" spans="1:8" ht="12.75" customHeight="1">
      <c r="A67" s="13"/>
      <c r="B67" s="56" t="s">
        <v>1640</v>
      </c>
      <c r="C67" s="70">
        <v>0.02</v>
      </c>
      <c r="D67" s="57" t="s">
        <v>47</v>
      </c>
      <c r="E67" s="76">
        <f>SUM(G65:G66)</f>
        <v>511.25399999999996</v>
      </c>
      <c r="F67" s="76"/>
      <c r="G67" s="17">
        <f>+C67*E67+C67*F67</f>
        <v>10.22508</v>
      </c>
      <c r="H67" s="18"/>
    </row>
    <row r="68" spans="1:8" ht="15.75" thickBot="1">
      <c r="A68" s="21"/>
      <c r="B68" s="22"/>
      <c r="C68" s="71"/>
      <c r="D68" s="24" t="s">
        <v>111</v>
      </c>
      <c r="E68" s="78"/>
      <c r="F68" s="79"/>
      <c r="G68" s="26">
        <f>SUM(G65:G67)</f>
        <v>521.47907999999995</v>
      </c>
      <c r="H68" s="27" t="s">
        <v>20</v>
      </c>
    </row>
    <row r="69" spans="1:8" ht="12.75" customHeight="1" thickTop="1">
      <c r="C69" s="68"/>
    </row>
    <row r="70" spans="1:8" ht="12.75" customHeight="1">
      <c r="A70" s="4"/>
      <c r="B70" s="370" t="e">
        <f>#REF!</f>
        <v>#REF!</v>
      </c>
      <c r="C70" s="370"/>
      <c r="D70" s="370"/>
      <c r="E70" s="370"/>
      <c r="F70" s="370"/>
      <c r="G70" s="370"/>
      <c r="H70" s="370"/>
    </row>
    <row r="71" spans="1:8" ht="12.75" customHeight="1">
      <c r="A71" s="6"/>
      <c r="B71" s="7"/>
      <c r="C71" s="69" t="s">
        <v>98</v>
      </c>
      <c r="D71" s="9" t="s">
        <v>39</v>
      </c>
      <c r="E71" s="74" t="s">
        <v>99</v>
      </c>
      <c r="F71" s="75" t="s">
        <v>100</v>
      </c>
      <c r="G71" s="11" t="s">
        <v>101</v>
      </c>
      <c r="H71" s="12"/>
    </row>
    <row r="72" spans="1:8" ht="12.75" customHeight="1">
      <c r="A72" s="13"/>
      <c r="B72" s="56" t="s">
        <v>1637</v>
      </c>
      <c r="C72" s="70">
        <v>0.6</v>
      </c>
      <c r="D72" s="57" t="s">
        <v>1638</v>
      </c>
      <c r="E72" s="76">
        <v>358.33</v>
      </c>
      <c r="F72" s="76"/>
      <c r="G72" s="17">
        <f>+C72*E72+C72*F72</f>
        <v>214.99799999999999</v>
      </c>
      <c r="H72" s="18"/>
    </row>
    <row r="73" spans="1:8" ht="12.75" customHeight="1">
      <c r="A73" s="13"/>
      <c r="B73" s="56" t="s">
        <v>1639</v>
      </c>
      <c r="C73" s="70">
        <v>2.4</v>
      </c>
      <c r="D73" s="57" t="s">
        <v>1638</v>
      </c>
      <c r="E73" s="76">
        <v>123.44</v>
      </c>
      <c r="F73" s="76"/>
      <c r="G73" s="17">
        <f>+C73*E73+C73*F73</f>
        <v>296.25599999999997</v>
      </c>
      <c r="H73" s="18"/>
    </row>
    <row r="74" spans="1:8" ht="12.75" customHeight="1">
      <c r="A74" s="13"/>
      <c r="B74" s="56" t="s">
        <v>1640</v>
      </c>
      <c r="C74" s="70">
        <v>0.02</v>
      </c>
      <c r="D74" s="57" t="s">
        <v>47</v>
      </c>
      <c r="E74" s="76">
        <f>SUM(G72:G73)</f>
        <v>511.25399999999996</v>
      </c>
      <c r="F74" s="76"/>
      <c r="G74" s="17">
        <f>+C74*E74+C74*F74</f>
        <v>10.22508</v>
      </c>
      <c r="H74" s="18"/>
    </row>
    <row r="75" spans="1:8" ht="15.75" thickBot="1">
      <c r="A75" s="21"/>
      <c r="B75" s="22"/>
      <c r="C75" s="71"/>
      <c r="D75" s="24" t="s">
        <v>111</v>
      </c>
      <c r="E75" s="78"/>
      <c r="F75" s="79"/>
      <c r="G75" s="26">
        <f>SUM(G72:G74)</f>
        <v>521.47907999999995</v>
      </c>
      <c r="H75" s="27" t="s">
        <v>20</v>
      </c>
    </row>
    <row r="76" spans="1:8" ht="12.75" customHeight="1" thickTop="1">
      <c r="C76" s="68"/>
    </row>
    <row r="77" spans="1:8" ht="12.75" customHeight="1">
      <c r="A77" s="4"/>
      <c r="B77" s="370" t="e">
        <f>#REF!</f>
        <v>#REF!</v>
      </c>
      <c r="C77" s="370"/>
      <c r="D77" s="370"/>
      <c r="E77" s="370"/>
      <c r="F77" s="370"/>
      <c r="G77" s="370"/>
      <c r="H77" s="370"/>
    </row>
    <row r="78" spans="1:8" ht="12.75" customHeight="1">
      <c r="A78" s="6"/>
      <c r="B78" s="7"/>
      <c r="C78" s="69" t="s">
        <v>98</v>
      </c>
      <c r="D78" s="9" t="s">
        <v>39</v>
      </c>
      <c r="E78" s="74" t="s">
        <v>99</v>
      </c>
      <c r="F78" s="75" t="s">
        <v>100</v>
      </c>
      <c r="G78" s="11" t="s">
        <v>101</v>
      </c>
      <c r="H78" s="12"/>
    </row>
    <row r="79" spans="1:8" ht="12.75" customHeight="1">
      <c r="A79" s="13"/>
      <c r="B79" s="56" t="s">
        <v>1637</v>
      </c>
      <c r="C79" s="70">
        <v>0.15</v>
      </c>
      <c r="D79" s="57" t="s">
        <v>1638</v>
      </c>
      <c r="E79" s="76">
        <v>358.33</v>
      </c>
      <c r="F79" s="76"/>
      <c r="G79" s="17">
        <f>+C79*E79+C79*F79</f>
        <v>53.749499999999998</v>
      </c>
      <c r="H79" s="18"/>
    </row>
    <row r="80" spans="1:8" ht="12.75" customHeight="1">
      <c r="A80" s="13"/>
      <c r="B80" s="56" t="s">
        <v>1641</v>
      </c>
      <c r="C80" s="70">
        <v>0.3</v>
      </c>
      <c r="D80" s="57" t="s">
        <v>1638</v>
      </c>
      <c r="E80" s="76">
        <v>123.44</v>
      </c>
      <c r="F80" s="76"/>
      <c r="G80" s="17">
        <f>+C80*E80+C80*F80</f>
        <v>37.031999999999996</v>
      </c>
      <c r="H80" s="18"/>
    </row>
    <row r="81" spans="1:8" ht="12.75" customHeight="1">
      <c r="A81" s="13"/>
      <c r="B81" s="56" t="s">
        <v>1642</v>
      </c>
      <c r="C81" s="70">
        <v>0.05</v>
      </c>
      <c r="D81" s="57" t="s">
        <v>47</v>
      </c>
      <c r="E81" s="76">
        <f>SUM(G79:G80)</f>
        <v>90.781499999999994</v>
      </c>
      <c r="F81" s="76"/>
      <c r="G81" s="17">
        <f>+C81*E81+C81*F81</f>
        <v>4.5390749999999995</v>
      </c>
      <c r="H81" s="18"/>
    </row>
    <row r="82" spans="1:8" ht="15.75" thickBot="1">
      <c r="A82" s="21"/>
      <c r="B82" s="22"/>
      <c r="C82" s="71"/>
      <c r="D82" s="24" t="s">
        <v>111</v>
      </c>
      <c r="E82" s="78"/>
      <c r="F82" s="79"/>
      <c r="G82" s="26">
        <f>SUM(G79:G81)</f>
        <v>95.320574999999991</v>
      </c>
      <c r="H82" s="27" t="s">
        <v>20</v>
      </c>
    </row>
    <row r="83" spans="1:8" ht="15.75" thickTop="1">
      <c r="B83" s="55"/>
    </row>
    <row r="84" spans="1:8">
      <c r="A84" s="4"/>
      <c r="B84" s="370" t="e">
        <f>#REF!</f>
        <v>#REF!</v>
      </c>
      <c r="C84" s="370"/>
      <c r="D84" s="370"/>
      <c r="E84" s="370"/>
      <c r="F84" s="370"/>
      <c r="G84" s="370"/>
      <c r="H84" s="370"/>
    </row>
    <row r="85" spans="1:8">
      <c r="A85" s="6"/>
      <c r="B85" s="7"/>
      <c r="C85" s="8" t="s">
        <v>98</v>
      </c>
      <c r="D85" s="9" t="s">
        <v>39</v>
      </c>
      <c r="E85" s="74" t="s">
        <v>99</v>
      </c>
      <c r="F85" s="75" t="s">
        <v>100</v>
      </c>
      <c r="G85" s="11" t="s">
        <v>101</v>
      </c>
      <c r="H85" s="12"/>
    </row>
    <row r="86" spans="1:8">
      <c r="A86" s="13"/>
      <c r="B86" s="56" t="s">
        <v>1494</v>
      </c>
      <c r="C86" s="63">
        <v>1</v>
      </c>
      <c r="D86" s="57" t="s">
        <v>19</v>
      </c>
      <c r="E86" s="76">
        <f>400/1.18</f>
        <v>338.98305084745766</v>
      </c>
      <c r="F86" s="76">
        <f>+E86*0.18</f>
        <v>61.016949152542374</v>
      </c>
      <c r="G86" s="17">
        <f>+C86*E86+C86*F86</f>
        <v>400.00000000000006</v>
      </c>
      <c r="H86" s="18"/>
    </row>
    <row r="87" spans="1:8">
      <c r="A87" s="13"/>
      <c r="B87" s="56" t="s">
        <v>1495</v>
      </c>
      <c r="C87" s="63">
        <v>25</v>
      </c>
      <c r="D87" s="57" t="s">
        <v>1496</v>
      </c>
      <c r="E87" s="76">
        <v>18</v>
      </c>
      <c r="F87" s="76"/>
      <c r="G87" s="17">
        <f t="shared" ref="G87:G95" si="1">+C87*E87+C87*F87</f>
        <v>450</v>
      </c>
      <c r="H87" s="18"/>
    </row>
    <row r="88" spans="1:8">
      <c r="A88" s="13"/>
      <c r="B88" s="56" t="s">
        <v>1497</v>
      </c>
      <c r="C88" s="63">
        <v>1.4441666666666665E-2</v>
      </c>
      <c r="D88" s="57" t="s">
        <v>294</v>
      </c>
      <c r="E88" s="76">
        <v>4607.9799999999996</v>
      </c>
      <c r="F88" s="76">
        <v>625.41999999999996</v>
      </c>
      <c r="G88" s="17">
        <f t="shared" si="1"/>
        <v>75.579018333333309</v>
      </c>
      <c r="H88" s="18"/>
    </row>
    <row r="89" spans="1:8">
      <c r="A89" s="13"/>
      <c r="B89" s="56" t="s">
        <v>1498</v>
      </c>
      <c r="C89" s="63">
        <v>7.2249999999999997E-3</v>
      </c>
      <c r="D89" s="57" t="s">
        <v>294</v>
      </c>
      <c r="E89" s="76">
        <v>4607.9799999999996</v>
      </c>
      <c r="F89" s="76">
        <v>625.41999999999996</v>
      </c>
      <c r="G89" s="17">
        <f t="shared" si="1"/>
        <v>37.811314999999993</v>
      </c>
      <c r="H89" s="18"/>
    </row>
    <row r="90" spans="1:8">
      <c r="A90" s="13"/>
      <c r="B90" s="56" t="s">
        <v>1499</v>
      </c>
      <c r="C90" s="63">
        <v>1.7333333333333333E-2</v>
      </c>
      <c r="D90" s="57" t="s">
        <v>294</v>
      </c>
      <c r="E90" s="76">
        <v>3128.48</v>
      </c>
      <c r="F90" s="76">
        <v>427.12</v>
      </c>
      <c r="G90" s="17">
        <f t="shared" si="1"/>
        <v>61.630399999999995</v>
      </c>
      <c r="H90" s="18"/>
    </row>
    <row r="91" spans="1:8">
      <c r="A91" s="13"/>
      <c r="B91" s="56" t="s">
        <v>1500</v>
      </c>
      <c r="C91" s="63">
        <v>4.3333333333333331E-3</v>
      </c>
      <c r="D91" s="57" t="s">
        <v>3</v>
      </c>
      <c r="E91" s="76">
        <v>2000</v>
      </c>
      <c r="F91" s="76"/>
      <c r="G91" s="17">
        <f t="shared" si="1"/>
        <v>8.6666666666666661</v>
      </c>
      <c r="H91" s="18"/>
    </row>
    <row r="92" spans="1:8">
      <c r="A92" s="13"/>
      <c r="B92" s="56" t="s">
        <v>1501</v>
      </c>
      <c r="C92" s="63">
        <v>1.6666666666666668E-3</v>
      </c>
      <c r="D92" s="57" t="s">
        <v>3</v>
      </c>
      <c r="E92" s="76">
        <v>15000</v>
      </c>
      <c r="F92" s="76"/>
      <c r="G92" s="17">
        <f t="shared" si="1"/>
        <v>25</v>
      </c>
      <c r="H92" s="18"/>
    </row>
    <row r="93" spans="1:8">
      <c r="A93" s="13"/>
      <c r="B93" s="56" t="s">
        <v>1502</v>
      </c>
      <c r="C93" s="63">
        <v>1.6666666666666668E-3</v>
      </c>
      <c r="D93" s="57" t="s">
        <v>3</v>
      </c>
      <c r="E93" s="76">
        <v>12000</v>
      </c>
      <c r="F93" s="76"/>
      <c r="G93" s="17">
        <f t="shared" si="1"/>
        <v>20</v>
      </c>
      <c r="H93" s="18"/>
    </row>
    <row r="94" spans="1:8">
      <c r="A94" s="13"/>
      <c r="B94" s="56" t="s">
        <v>1503</v>
      </c>
      <c r="C94" s="63">
        <v>2.5000000000000001E-3</v>
      </c>
      <c r="D94" s="57" t="s">
        <v>290</v>
      </c>
      <c r="E94" s="76">
        <v>15000</v>
      </c>
      <c r="F94" s="76"/>
      <c r="G94" s="17">
        <f t="shared" si="1"/>
        <v>37.5</v>
      </c>
      <c r="H94" s="18"/>
    </row>
    <row r="95" spans="1:8">
      <c r="A95" s="13"/>
      <c r="B95" s="56" t="s">
        <v>1504</v>
      </c>
      <c r="C95" s="63">
        <v>3.3333333333333335E-3</v>
      </c>
      <c r="D95" s="57" t="s">
        <v>290</v>
      </c>
      <c r="E95" s="76">
        <v>847</v>
      </c>
      <c r="F95" s="76"/>
      <c r="G95" s="17">
        <f t="shared" si="1"/>
        <v>2.8233333333333337</v>
      </c>
      <c r="H95" s="18"/>
    </row>
    <row r="96" spans="1:8">
      <c r="A96" s="13"/>
      <c r="B96" s="56"/>
      <c r="C96" s="57"/>
      <c r="D96" s="57"/>
      <c r="E96" s="76"/>
      <c r="F96" s="76"/>
      <c r="G96" s="17"/>
      <c r="H96" s="18"/>
    </row>
    <row r="97" spans="1:17" ht="15.75" thickBot="1">
      <c r="A97" s="21"/>
      <c r="B97" s="22"/>
      <c r="C97" s="23"/>
      <c r="D97" s="24" t="s">
        <v>111</v>
      </c>
      <c r="E97" s="78"/>
      <c r="F97" s="79"/>
      <c r="G97" s="26">
        <f>SUM(G86:G96)</f>
        <v>1119.0107333333333</v>
      </c>
      <c r="H97" s="27" t="s">
        <v>106</v>
      </c>
    </row>
    <row r="98" spans="1:17" ht="15.75" thickTop="1">
      <c r="B98" s="55"/>
    </row>
    <row r="99" spans="1:17">
      <c r="A99" s="4"/>
      <c r="B99" s="370" t="e">
        <f>#REF!</f>
        <v>#REF!</v>
      </c>
      <c r="C99" s="370"/>
      <c r="D99" s="370"/>
      <c r="E99" s="370"/>
      <c r="F99" s="370"/>
      <c r="G99" s="370"/>
      <c r="H99" s="370"/>
    </row>
    <row r="100" spans="1:17">
      <c r="A100" s="6"/>
      <c r="B100" s="7"/>
      <c r="C100" s="8" t="s">
        <v>98</v>
      </c>
      <c r="D100" s="9" t="s">
        <v>39</v>
      </c>
      <c r="E100" s="74" t="s">
        <v>99</v>
      </c>
      <c r="F100" s="75" t="s">
        <v>100</v>
      </c>
      <c r="G100" s="11" t="s">
        <v>101</v>
      </c>
      <c r="H100" s="12"/>
    </row>
    <row r="101" spans="1:17">
      <c r="A101" s="6"/>
      <c r="B101" s="7"/>
      <c r="C101" s="8"/>
      <c r="D101" s="9"/>
      <c r="E101" s="74"/>
      <c r="F101" s="75"/>
      <c r="G101" s="11"/>
      <c r="H101" s="12"/>
    </row>
    <row r="102" spans="1:17">
      <c r="A102" s="19"/>
      <c r="B102" s="56" t="s">
        <v>1505</v>
      </c>
      <c r="C102" s="62">
        <v>1</v>
      </c>
      <c r="D102" s="57" t="s">
        <v>1506</v>
      </c>
      <c r="E102" s="61">
        <v>200</v>
      </c>
      <c r="F102" s="61"/>
      <c r="G102" s="17">
        <f>+C102*E102+C102*F102</f>
        <v>200</v>
      </c>
      <c r="H102" s="12"/>
    </row>
    <row r="103" spans="1:17">
      <c r="A103" s="19"/>
      <c r="B103" s="56" t="s">
        <v>1507</v>
      </c>
      <c r="C103" s="62">
        <v>5</v>
      </c>
      <c r="D103" s="57" t="s">
        <v>1506</v>
      </c>
      <c r="E103" s="61">
        <v>24.76</v>
      </c>
      <c r="F103" s="61"/>
      <c r="G103" s="17">
        <f>+C103*E103+C103*F103</f>
        <v>123.80000000000001</v>
      </c>
      <c r="H103" s="18"/>
    </row>
    <row r="104" spans="1:17">
      <c r="A104" s="19"/>
      <c r="B104" s="56" t="s">
        <v>1508</v>
      </c>
      <c r="C104" s="62">
        <v>5</v>
      </c>
      <c r="D104" s="57" t="s">
        <v>1506</v>
      </c>
      <c r="E104" s="61">
        <v>19.22</v>
      </c>
      <c r="F104" s="61"/>
      <c r="G104" s="17">
        <f>+C104*E104+C104*F104</f>
        <v>96.1</v>
      </c>
      <c r="H104" s="12"/>
    </row>
    <row r="105" spans="1:17">
      <c r="A105" s="19"/>
      <c r="B105" s="56"/>
      <c r="C105" s="62"/>
      <c r="D105" s="57"/>
      <c r="E105" s="61"/>
      <c r="F105" s="61"/>
      <c r="G105" s="17"/>
      <c r="H105" s="12"/>
    </row>
    <row r="106" spans="1:17" ht="15.75" thickBot="1">
      <c r="A106" s="21"/>
      <c r="B106" s="22"/>
      <c r="C106" s="23"/>
      <c r="D106" s="24" t="s">
        <v>111</v>
      </c>
      <c r="E106" s="78"/>
      <c r="F106" s="79"/>
      <c r="G106" s="26">
        <f>SUM(G102:G105)</f>
        <v>419.9</v>
      </c>
      <c r="H106" s="27" t="s">
        <v>106</v>
      </c>
    </row>
    <row r="107" spans="1:17" ht="15.75" thickTop="1"/>
    <row r="108" spans="1:17">
      <c r="A108" s="53"/>
      <c r="B108" s="53" t="s">
        <v>1509</v>
      </c>
      <c r="C108" s="54"/>
      <c r="D108" s="54"/>
      <c r="E108" s="72"/>
      <c r="F108" s="72"/>
      <c r="G108" s="54"/>
      <c r="H108" s="54"/>
    </row>
    <row r="109" spans="1:17">
      <c r="B109" s="55"/>
      <c r="K109">
        <f>1/J110</f>
        <v>5.5555555555555554</v>
      </c>
    </row>
    <row r="110" spans="1:17">
      <c r="A110" s="64"/>
      <c r="B110" s="370" t="e">
        <f>#REF!</f>
        <v>#REF!</v>
      </c>
      <c r="C110" s="370"/>
      <c r="D110" s="370"/>
      <c r="E110" s="370"/>
      <c r="F110" s="370"/>
      <c r="G110" s="370"/>
      <c r="H110" s="370"/>
      <c r="J110">
        <f>0.6*0.3</f>
        <v>0.18</v>
      </c>
      <c r="K110">
        <v>60</v>
      </c>
      <c r="L110">
        <f>0.6+0.2*2</f>
        <v>1</v>
      </c>
      <c r="M110">
        <v>3.2810000000000001</v>
      </c>
      <c r="N110">
        <v>0.378</v>
      </c>
      <c r="O110">
        <f>+K110*L110*M110*N110/100</f>
        <v>0.74413080000000009</v>
      </c>
    </row>
    <row r="111" spans="1:17">
      <c r="A111" s="6"/>
      <c r="B111" s="7"/>
      <c r="C111" s="8" t="s">
        <v>98</v>
      </c>
      <c r="D111" s="9" t="s">
        <v>39</v>
      </c>
      <c r="E111" s="74" t="s">
        <v>99</v>
      </c>
      <c r="F111" s="75" t="s">
        <v>100</v>
      </c>
      <c r="G111" s="11" t="s">
        <v>101</v>
      </c>
      <c r="H111" s="12"/>
      <c r="J111">
        <f>1/J110</f>
        <v>5.5555555555555554</v>
      </c>
      <c r="K111">
        <f>+J111</f>
        <v>5.5555555555555554</v>
      </c>
      <c r="L111">
        <v>5</v>
      </c>
      <c r="M111">
        <v>3.2810000000000001</v>
      </c>
      <c r="N111">
        <v>0.378</v>
      </c>
      <c r="O111">
        <f>+K111*L111*M111*N111/100</f>
        <v>0.34450500000000006</v>
      </c>
    </row>
    <row r="112" spans="1:17">
      <c r="A112" s="19"/>
      <c r="B112" s="56" t="s">
        <v>1511</v>
      </c>
      <c r="C112" s="62">
        <v>1.05</v>
      </c>
      <c r="D112" s="57" t="s">
        <v>1510</v>
      </c>
      <c r="E112" s="61">
        <f>Materiales!$D$105</f>
        <v>5677.9661016949149</v>
      </c>
      <c r="F112" s="61">
        <f>+E112*0.18</f>
        <v>1022.0338983050847</v>
      </c>
      <c r="G112" s="17">
        <f>+C112*E112+C112*F112</f>
        <v>7035</v>
      </c>
      <c r="H112" s="12"/>
      <c r="J112">
        <f>+K111/0.15</f>
        <v>37.037037037037038</v>
      </c>
      <c r="O112">
        <f>SUM(O110:O111)</f>
        <v>1.0886358</v>
      </c>
      <c r="P112">
        <f>+O112*1.05</f>
        <v>1.14306759</v>
      </c>
      <c r="Q112">
        <f>+P112/J110</f>
        <v>6.3503755000000002</v>
      </c>
    </row>
    <row r="113" spans="1:17">
      <c r="A113" s="19"/>
      <c r="B113" s="56" t="s">
        <v>1646</v>
      </c>
      <c r="C113" s="62">
        <v>1.14306759</v>
      </c>
      <c r="D113" s="57" t="s">
        <v>1513</v>
      </c>
      <c r="E113" s="61">
        <f>Materiales!$D$38</f>
        <v>3305.0847457627119</v>
      </c>
      <c r="F113" s="61">
        <f t="shared" ref="F113:F114" si="2">+E113*0.18</f>
        <v>594.91525423728808</v>
      </c>
      <c r="G113" s="17">
        <f>+C113*E113+C113*F113</f>
        <v>4457.9636009999995</v>
      </c>
      <c r="H113" s="18"/>
    </row>
    <row r="114" spans="1:17">
      <c r="A114" s="19"/>
      <c r="B114" s="56" t="s">
        <v>1514</v>
      </c>
      <c r="C114" s="62">
        <f>+C113*2</f>
        <v>2.28613518</v>
      </c>
      <c r="D114" s="57" t="s">
        <v>1515</v>
      </c>
      <c r="E114" s="61">
        <f>Materiales!$D$50</f>
        <v>93.220338983050851</v>
      </c>
      <c r="F114" s="61">
        <f t="shared" si="2"/>
        <v>16.779661016949152</v>
      </c>
      <c r="G114" s="17">
        <f>+C114*E114+C114*F114</f>
        <v>251.47486980000002</v>
      </c>
      <c r="H114" s="12"/>
    </row>
    <row r="115" spans="1:17">
      <c r="A115" s="19"/>
      <c r="B115" s="56" t="s">
        <v>1516</v>
      </c>
      <c r="C115" s="62">
        <v>5.5556000000000001</v>
      </c>
      <c r="D115" s="57" t="s">
        <v>43</v>
      </c>
      <c r="E115" s="61">
        <v>107.87</v>
      </c>
      <c r="F115" s="61"/>
      <c r="G115" s="17">
        <f>+C115*E115+C115*F115</f>
        <v>599.28257200000007</v>
      </c>
      <c r="H115" s="12"/>
    </row>
    <row r="116" spans="1:17" ht="15.75" thickBot="1">
      <c r="A116" s="21"/>
      <c r="B116" s="22"/>
      <c r="C116" s="23"/>
      <c r="D116" s="24" t="s">
        <v>111</v>
      </c>
      <c r="E116" s="78"/>
      <c r="F116" s="79"/>
      <c r="G116" s="26">
        <f>SUM(G112:G115)</f>
        <v>12343.7210428</v>
      </c>
      <c r="H116" s="27" t="s">
        <v>106</v>
      </c>
    </row>
    <row r="117" spans="1:17" ht="15.75" thickTop="1">
      <c r="B117" s="55"/>
      <c r="K117">
        <f>1.2*1.2*0.3</f>
        <v>0.432</v>
      </c>
    </row>
    <row r="118" spans="1:17">
      <c r="A118" s="64"/>
      <c r="B118" s="370" t="e">
        <f>#REF!</f>
        <v>#REF!</v>
      </c>
      <c r="C118" s="370"/>
      <c r="D118" s="370"/>
      <c r="E118" s="370"/>
      <c r="F118" s="370"/>
      <c r="G118" s="370"/>
      <c r="H118" s="370"/>
      <c r="J118">
        <f>1.2/0.15</f>
        <v>8</v>
      </c>
      <c r="K118">
        <v>1</v>
      </c>
      <c r="L118">
        <v>14</v>
      </c>
      <c r="M118">
        <v>3.2810000000000001</v>
      </c>
      <c r="N118">
        <v>0.66700000000000004</v>
      </c>
      <c r="O118">
        <f>+K118*L118*M118*N118/100</f>
        <v>0.30637978000000005</v>
      </c>
      <c r="P118">
        <f>+O118/0.4</f>
        <v>0.76594945000000003</v>
      </c>
      <c r="Q118">
        <f>+P118*1.05</f>
        <v>0.80424692250000007</v>
      </c>
    </row>
    <row r="119" spans="1:17">
      <c r="A119" s="6"/>
      <c r="B119" s="7"/>
      <c r="C119" s="8" t="s">
        <v>98</v>
      </c>
      <c r="D119" s="9" t="s">
        <v>39</v>
      </c>
      <c r="E119" s="74" t="s">
        <v>99</v>
      </c>
      <c r="F119" s="75" t="s">
        <v>100</v>
      </c>
      <c r="G119" s="11" t="s">
        <v>101</v>
      </c>
      <c r="H119" s="12"/>
      <c r="J119">
        <f>1/0.15</f>
        <v>6.666666666666667</v>
      </c>
    </row>
    <row r="120" spans="1:17">
      <c r="A120" s="19"/>
      <c r="B120" s="56" t="s">
        <v>1511</v>
      </c>
      <c r="C120" s="62">
        <v>1.05</v>
      </c>
      <c r="D120" s="57" t="s">
        <v>1510</v>
      </c>
      <c r="E120" s="61">
        <f>Materiales!$D$105</f>
        <v>5677.9661016949149</v>
      </c>
      <c r="F120" s="61">
        <f>+E120*0.18</f>
        <v>1022.0338983050847</v>
      </c>
      <c r="G120" s="17">
        <f>+C120*E120+C120*F120</f>
        <v>7035</v>
      </c>
      <c r="H120" s="12"/>
      <c r="O120">
        <f>SUM(O118:O119)</f>
        <v>0.30637978000000005</v>
      </c>
      <c r="P120">
        <f>+O120*1.05</f>
        <v>0.32169876900000005</v>
      </c>
      <c r="Q120">
        <f>+P120/K117</f>
        <v>0.74467307638888902</v>
      </c>
    </row>
    <row r="121" spans="1:17">
      <c r="A121" s="19"/>
      <c r="B121" s="56" t="s">
        <v>1645</v>
      </c>
      <c r="C121" s="62">
        <v>0.80424692250000007</v>
      </c>
      <c r="D121" s="57" t="s">
        <v>1513</v>
      </c>
      <c r="E121" s="61">
        <f>Materiales!$D$38</f>
        <v>3305.0847457627119</v>
      </c>
      <c r="F121" s="61">
        <f t="shared" ref="F121:F122" si="3">+E121*0.18</f>
        <v>594.91525423728808</v>
      </c>
      <c r="G121" s="17">
        <f>+C121*E121+C121*F121</f>
        <v>3136.5629977500002</v>
      </c>
      <c r="H121" s="18"/>
    </row>
    <row r="122" spans="1:17">
      <c r="A122" s="19"/>
      <c r="B122" s="56" t="s">
        <v>1514</v>
      </c>
      <c r="C122" s="62">
        <f>+C121*2</f>
        <v>1.6084938450000001</v>
      </c>
      <c r="D122" s="57" t="s">
        <v>1515</v>
      </c>
      <c r="E122" s="61">
        <f>Materiales!$D$50</f>
        <v>93.220338983050851</v>
      </c>
      <c r="F122" s="61">
        <f t="shared" si="3"/>
        <v>16.779661016949152</v>
      </c>
      <c r="G122" s="17">
        <f>+C122*E122+C122*F122</f>
        <v>176.93432295000002</v>
      </c>
      <c r="H122" s="12"/>
      <c r="J122">
        <f>0.75/0.2</f>
        <v>3.75</v>
      </c>
      <c r="K122">
        <f>0.9/0.2</f>
        <v>4.5</v>
      </c>
    </row>
    <row r="123" spans="1:17">
      <c r="A123" s="19"/>
      <c r="B123" s="56" t="s">
        <v>1516</v>
      </c>
      <c r="C123" s="62">
        <f>+C121</f>
        <v>0.80424692250000007</v>
      </c>
      <c r="D123" s="57" t="s">
        <v>1513</v>
      </c>
      <c r="E123" s="61">
        <v>323.23</v>
      </c>
      <c r="F123" s="61"/>
      <c r="G123" s="17">
        <f>+C123*E123+C123*F123</f>
        <v>259.95673275967505</v>
      </c>
      <c r="H123" s="12"/>
    </row>
    <row r="124" spans="1:17" ht="15.75" thickBot="1">
      <c r="A124" s="21"/>
      <c r="B124" s="22"/>
      <c r="C124" s="23"/>
      <c r="D124" s="24" t="s">
        <v>111</v>
      </c>
      <c r="E124" s="78"/>
      <c r="F124" s="79"/>
      <c r="G124" s="26">
        <f>SUM(G120:G123)</f>
        <v>10608.454053459674</v>
      </c>
      <c r="H124" s="27" t="s">
        <v>106</v>
      </c>
    </row>
    <row r="125" spans="1:17" ht="15.75" thickTop="1">
      <c r="B125" s="55"/>
    </row>
    <row r="126" spans="1:17">
      <c r="A126" s="64"/>
      <c r="B126" s="370" t="e">
        <f>#REF!</f>
        <v>#REF!</v>
      </c>
      <c r="C126" s="370"/>
      <c r="D126" s="370"/>
      <c r="E126" s="370"/>
      <c r="F126" s="370"/>
      <c r="G126" s="370"/>
      <c r="H126" s="370"/>
    </row>
    <row r="127" spans="1:17">
      <c r="A127" s="6"/>
      <c r="B127" s="7"/>
      <c r="C127" s="8" t="s">
        <v>98</v>
      </c>
      <c r="D127" s="9" t="s">
        <v>39</v>
      </c>
      <c r="E127" s="74" t="s">
        <v>99</v>
      </c>
      <c r="F127" s="75" t="s">
        <v>100</v>
      </c>
      <c r="G127" s="11" t="s">
        <v>101</v>
      </c>
      <c r="H127" s="12"/>
    </row>
    <row r="128" spans="1:17">
      <c r="A128" s="19"/>
      <c r="B128" s="56" t="s">
        <v>1511</v>
      </c>
      <c r="C128" s="62">
        <v>1.05</v>
      </c>
      <c r="D128" s="57" t="s">
        <v>1510</v>
      </c>
      <c r="E128" s="61">
        <f>Materiales!$D$105</f>
        <v>5677.9661016949149</v>
      </c>
      <c r="F128" s="61">
        <f>+E128*0.18</f>
        <v>1022.0338983050847</v>
      </c>
      <c r="G128" s="17">
        <f t="shared" ref="G128:G133" si="4">+C128*E128+C128*F128</f>
        <v>7035</v>
      </c>
      <c r="H128" s="12"/>
      <c r="I128">
        <f>0.2*0.2</f>
        <v>4.0000000000000008E-2</v>
      </c>
      <c r="J128">
        <f>1/I128</f>
        <v>24.999999999999996</v>
      </c>
      <c r="K128">
        <v>4</v>
      </c>
      <c r="L128">
        <v>3.2810000000000001</v>
      </c>
      <c r="M128">
        <v>0.66700000000000004</v>
      </c>
      <c r="N128">
        <f>+J128*K128*L128*M128/100</f>
        <v>2.1884269999999999</v>
      </c>
      <c r="O128">
        <f>+N128*1.05</f>
        <v>2.2978483500000002</v>
      </c>
    </row>
    <row r="129" spans="1:17">
      <c r="A129" s="19"/>
      <c r="B129" s="56" t="s">
        <v>1645</v>
      </c>
      <c r="C129" s="62">
        <v>2.2978483500000002</v>
      </c>
      <c r="D129" s="57" t="s">
        <v>1513</v>
      </c>
      <c r="E129" s="61">
        <f>Materiales!$D$38</f>
        <v>3305.0847457627119</v>
      </c>
      <c r="F129" s="61">
        <f t="shared" ref="F129:F131" si="5">+E129*0.18</f>
        <v>594.91525423728808</v>
      </c>
      <c r="G129" s="17">
        <f t="shared" si="4"/>
        <v>8961.6085650000005</v>
      </c>
      <c r="H129" s="18"/>
      <c r="I129">
        <f>+J128/0.15</f>
        <v>166.66666666666666</v>
      </c>
      <c r="K129">
        <v>6</v>
      </c>
      <c r="L129">
        <v>3.2810000000000001</v>
      </c>
      <c r="M129">
        <v>1.54</v>
      </c>
      <c r="N129">
        <f t="shared" ref="N129" si="6">+J129*K129*L129*M129/100</f>
        <v>0</v>
      </c>
    </row>
    <row r="130" spans="1:17">
      <c r="A130" s="19"/>
      <c r="B130" s="56" t="s">
        <v>1646</v>
      </c>
      <c r="C130" s="62">
        <v>1.7397778104000003</v>
      </c>
      <c r="D130" s="57" t="s">
        <v>1513</v>
      </c>
      <c r="E130" s="61">
        <f>Materiales!$D$38</f>
        <v>3305.0847457627119</v>
      </c>
      <c r="F130" s="61">
        <f t="shared" si="5"/>
        <v>594.91525423728808</v>
      </c>
      <c r="G130" s="17">
        <f t="shared" si="4"/>
        <v>6785.1334605600014</v>
      </c>
      <c r="H130" s="18"/>
    </row>
    <row r="131" spans="1:17">
      <c r="A131" s="19"/>
      <c r="B131" s="56" t="s">
        <v>1514</v>
      </c>
      <c r="C131" s="62">
        <f>+C129*2+C130*2</f>
        <v>8.0752523208000007</v>
      </c>
      <c r="D131" s="57" t="s">
        <v>1515</v>
      </c>
      <c r="E131" s="61">
        <f>Materiales!$D$50</f>
        <v>93.220338983050851</v>
      </c>
      <c r="F131" s="61">
        <f t="shared" si="5"/>
        <v>16.779661016949152</v>
      </c>
      <c r="G131" s="17">
        <f t="shared" si="4"/>
        <v>888.27775528800009</v>
      </c>
      <c r="H131" s="12"/>
      <c r="I131">
        <f>+J129/0.2</f>
        <v>0</v>
      </c>
      <c r="J131">
        <v>167</v>
      </c>
      <c r="K131">
        <f>0.2*4</f>
        <v>0.8</v>
      </c>
      <c r="L131">
        <v>3.2810000000000001</v>
      </c>
      <c r="M131">
        <v>0.378</v>
      </c>
      <c r="N131">
        <f t="shared" ref="N131" si="7">+J131*K131*L131*M131/100</f>
        <v>1.6569312480000002</v>
      </c>
      <c r="O131">
        <f>+N131*1.05</f>
        <v>1.7397778104000003</v>
      </c>
    </row>
    <row r="132" spans="1:17">
      <c r="A132" s="19"/>
      <c r="B132" s="56" t="s">
        <v>1516</v>
      </c>
      <c r="C132" s="62">
        <v>25</v>
      </c>
      <c r="D132" s="57" t="s">
        <v>43</v>
      </c>
      <c r="E132" s="61">
        <v>107.87</v>
      </c>
      <c r="F132" s="61"/>
      <c r="G132" s="17">
        <f t="shared" si="4"/>
        <v>2696.75</v>
      </c>
      <c r="H132" s="12"/>
      <c r="N132">
        <f>SUM(N128:N131)</f>
        <v>3.8453582480000001</v>
      </c>
      <c r="O132">
        <f>+N132*1.05</f>
        <v>4.0376261604000003</v>
      </c>
    </row>
    <row r="133" spans="1:17">
      <c r="A133" s="19"/>
      <c r="B133" s="56" t="s">
        <v>1517</v>
      </c>
      <c r="C133" s="62">
        <v>100</v>
      </c>
      <c r="D133" s="57" t="s">
        <v>43</v>
      </c>
      <c r="E133" s="61">
        <v>157.5</v>
      </c>
      <c r="F133" s="61"/>
      <c r="G133" s="17">
        <f t="shared" si="4"/>
        <v>15750</v>
      </c>
      <c r="H133" s="12"/>
    </row>
    <row r="134" spans="1:17" ht="15.75" thickBot="1">
      <c r="A134" s="21"/>
      <c r="B134" s="22"/>
      <c r="C134" s="23"/>
      <c r="D134" s="24" t="s">
        <v>111</v>
      </c>
      <c r="E134" s="78"/>
      <c r="F134" s="79"/>
      <c r="G134" s="26">
        <f>SUM(G128:G133)</f>
        <v>42116.769780848001</v>
      </c>
      <c r="H134" s="27" t="s">
        <v>106</v>
      </c>
    </row>
    <row r="135" spans="1:17" ht="15.75" thickTop="1">
      <c r="B135" s="55"/>
    </row>
    <row r="136" spans="1:17">
      <c r="B136" s="55"/>
    </row>
    <row r="137" spans="1:17">
      <c r="A137" s="64"/>
      <c r="B137" s="370" t="e">
        <f>#REF!</f>
        <v>#REF!</v>
      </c>
      <c r="C137" s="370"/>
      <c r="D137" s="370"/>
      <c r="E137" s="370"/>
      <c r="F137" s="370"/>
      <c r="G137" s="370"/>
      <c r="H137" s="370"/>
      <c r="J137">
        <f>0.4*0.2</f>
        <v>8.0000000000000016E-2</v>
      </c>
      <c r="K137">
        <v>12.5</v>
      </c>
      <c r="L137">
        <v>2</v>
      </c>
      <c r="M137">
        <v>3.2810000000000001</v>
      </c>
      <c r="N137">
        <v>0.66700000000000004</v>
      </c>
      <c r="O137">
        <f>+K137*L137*M137*N137/100</f>
        <v>0.54710675000000009</v>
      </c>
      <c r="P137">
        <f>+O137*1.05</f>
        <v>0.57446208750000016</v>
      </c>
    </row>
    <row r="138" spans="1:17">
      <c r="A138" s="6"/>
      <c r="B138" s="7"/>
      <c r="C138" s="8" t="s">
        <v>98</v>
      </c>
      <c r="D138" s="9" t="s">
        <v>39</v>
      </c>
      <c r="E138" s="74" t="s">
        <v>99</v>
      </c>
      <c r="F138" s="75" t="s">
        <v>100</v>
      </c>
      <c r="G138" s="11" t="s">
        <v>101</v>
      </c>
      <c r="H138" s="12"/>
      <c r="J138">
        <f>1/J137</f>
        <v>12.499999999999998</v>
      </c>
      <c r="K138">
        <v>12.5</v>
      </c>
      <c r="L138">
        <v>3</v>
      </c>
      <c r="M138">
        <v>3.2810000000000001</v>
      </c>
      <c r="N138">
        <v>0.378</v>
      </c>
      <c r="O138">
        <f>+K138*L138*M138*N138/100</f>
        <v>0.46508175000000002</v>
      </c>
      <c r="P138">
        <f>+O138*1.05</f>
        <v>0.48833583750000004</v>
      </c>
    </row>
    <row r="139" spans="1:17">
      <c r="A139" s="19"/>
      <c r="B139" s="56" t="s">
        <v>1511</v>
      </c>
      <c r="C139" s="62">
        <v>1.05</v>
      </c>
      <c r="D139" s="57" t="s">
        <v>1510</v>
      </c>
      <c r="E139" s="61">
        <f>Materiales!$D$105</f>
        <v>5677.9661016949149</v>
      </c>
      <c r="F139" s="61">
        <f>+E139*0.18</f>
        <v>1022.0338983050847</v>
      </c>
      <c r="G139" s="17">
        <f t="shared" ref="G139:G144" si="8">+C139*E139+C139*F139</f>
        <v>7035</v>
      </c>
      <c r="H139" s="12"/>
      <c r="J139">
        <f>+K138/0.15</f>
        <v>83.333333333333343</v>
      </c>
      <c r="K139">
        <v>84</v>
      </c>
      <c r="L139">
        <f>0.4*2+0.2*2</f>
        <v>1.2000000000000002</v>
      </c>
      <c r="M139">
        <v>3.2810000000000001</v>
      </c>
      <c r="N139">
        <v>0.378</v>
      </c>
      <c r="O139">
        <f>+K139*L139*M139*N139/100</f>
        <v>1.2501397440000002</v>
      </c>
      <c r="P139">
        <f>+O139*1.05</f>
        <v>1.3126467312000003</v>
      </c>
      <c r="Q139">
        <f>SUM(P138:P139)</f>
        <v>1.8009825687000003</v>
      </c>
    </row>
    <row r="140" spans="1:17">
      <c r="A140" s="19"/>
      <c r="B140" s="56" t="s">
        <v>1645</v>
      </c>
      <c r="C140" s="62">
        <v>0.57446208750000016</v>
      </c>
      <c r="D140" s="57" t="s">
        <v>1513</v>
      </c>
      <c r="E140" s="61">
        <f>Materiales!$D$38</f>
        <v>3305.0847457627119</v>
      </c>
      <c r="F140" s="61">
        <f t="shared" ref="F140:F142" si="9">+E140*0.18</f>
        <v>594.91525423728808</v>
      </c>
      <c r="G140" s="17">
        <f t="shared" si="8"/>
        <v>2240.4021412500006</v>
      </c>
      <c r="H140" s="18"/>
      <c r="O140">
        <f>SUM(O137:O139)</f>
        <v>2.2623282440000003</v>
      </c>
      <c r="P140">
        <f>+O140*1.05</f>
        <v>2.3754446562000004</v>
      </c>
    </row>
    <row r="141" spans="1:17">
      <c r="A141" s="19"/>
      <c r="B141" s="56" t="s">
        <v>1646</v>
      </c>
      <c r="C141" s="62">
        <v>1.8009825687000003</v>
      </c>
      <c r="D141" s="57" t="s">
        <v>1513</v>
      </c>
      <c r="E141" s="61">
        <f>Materiales!$D$38</f>
        <v>3305.0847457627119</v>
      </c>
      <c r="F141" s="61">
        <f t="shared" si="9"/>
        <v>594.91525423728808</v>
      </c>
      <c r="G141" s="17">
        <f t="shared" si="8"/>
        <v>7023.8320179300017</v>
      </c>
      <c r="H141" s="18"/>
    </row>
    <row r="142" spans="1:17">
      <c r="A142" s="19"/>
      <c r="B142" s="56" t="s">
        <v>1514</v>
      </c>
      <c r="C142" s="62">
        <f>+(C140+C141)*2</f>
        <v>4.7508893124000009</v>
      </c>
      <c r="D142" s="57" t="s">
        <v>1515</v>
      </c>
      <c r="E142" s="61">
        <f>Materiales!$D$50</f>
        <v>93.220338983050851</v>
      </c>
      <c r="F142" s="61">
        <f t="shared" si="9"/>
        <v>16.779661016949152</v>
      </c>
      <c r="G142" s="17">
        <f t="shared" si="8"/>
        <v>522.59782436400008</v>
      </c>
      <c r="H142" s="12"/>
    </row>
    <row r="143" spans="1:17">
      <c r="A143" s="19"/>
      <c r="B143" s="56" t="s">
        <v>1516</v>
      </c>
      <c r="C143" s="62">
        <v>12.5</v>
      </c>
      <c r="D143" s="57" t="s">
        <v>43</v>
      </c>
      <c r="E143" s="61">
        <v>107.87</v>
      </c>
      <c r="F143" s="61"/>
      <c r="G143" s="17">
        <f t="shared" si="8"/>
        <v>1348.375</v>
      </c>
      <c r="H143" s="12"/>
    </row>
    <row r="144" spans="1:17">
      <c r="A144" s="19"/>
      <c r="B144" s="56" t="s">
        <v>1517</v>
      </c>
      <c r="C144" s="62">
        <v>12.5</v>
      </c>
      <c r="D144" s="57" t="s">
        <v>43</v>
      </c>
      <c r="E144" s="61">
        <v>294</v>
      </c>
      <c r="F144" s="61"/>
      <c r="G144" s="17">
        <f t="shared" si="8"/>
        <v>3675</v>
      </c>
      <c r="H144" s="12"/>
    </row>
    <row r="145" spans="1:17" ht="15.75" thickBot="1">
      <c r="A145" s="21"/>
      <c r="B145" s="22"/>
      <c r="C145" s="23"/>
      <c r="D145" s="24" t="s">
        <v>111</v>
      </c>
      <c r="E145" s="78"/>
      <c r="F145" s="79"/>
      <c r="G145" s="26">
        <f>SUM(G139:G144)</f>
        <v>21845.206983544002</v>
      </c>
      <c r="H145" s="27" t="s">
        <v>106</v>
      </c>
    </row>
    <row r="146" spans="1:17" ht="15.75" thickTop="1">
      <c r="B146" s="55"/>
    </row>
    <row r="147" spans="1:17">
      <c r="A147" s="64"/>
      <c r="B147" s="370" t="e">
        <f>#REF!</f>
        <v>#REF!</v>
      </c>
      <c r="C147" s="370"/>
      <c r="D147" s="370"/>
      <c r="E147" s="370"/>
      <c r="F147" s="370"/>
      <c r="G147" s="370"/>
      <c r="H147" s="370"/>
      <c r="J147">
        <f>0.2*0.4</f>
        <v>8.0000000000000016E-2</v>
      </c>
      <c r="K147">
        <f>1/J147</f>
        <v>12.499999999999998</v>
      </c>
      <c r="L147">
        <v>3</v>
      </c>
      <c r="M147">
        <v>3.2810000000000001</v>
      </c>
      <c r="N147">
        <v>1.51</v>
      </c>
      <c r="O147">
        <f>+K147*L147*M147*N147/100</f>
        <v>1.8578662499999996</v>
      </c>
      <c r="P147">
        <f>+O147*1.05</f>
        <v>1.9507595624999996</v>
      </c>
    </row>
    <row r="148" spans="1:17">
      <c r="A148" s="6"/>
      <c r="B148" s="7"/>
      <c r="C148" s="8" t="s">
        <v>98</v>
      </c>
      <c r="D148" s="9" t="s">
        <v>39</v>
      </c>
      <c r="E148" s="74" t="s">
        <v>99</v>
      </c>
      <c r="F148" s="75" t="s">
        <v>100</v>
      </c>
      <c r="G148" s="11" t="s">
        <v>101</v>
      </c>
      <c r="H148" s="12"/>
      <c r="J148">
        <f>1/J147</f>
        <v>12.499999999999998</v>
      </c>
      <c r="K148">
        <f>+K147</f>
        <v>12.499999999999998</v>
      </c>
      <c r="L148">
        <v>2</v>
      </c>
      <c r="M148">
        <v>3.2810000000000001</v>
      </c>
      <c r="N148">
        <v>0.66669999999999996</v>
      </c>
      <c r="O148">
        <f>+K148*L148*M148*N148/100</f>
        <v>0.54686067499999991</v>
      </c>
      <c r="P148">
        <f>+O148*1.05</f>
        <v>0.57420370874999993</v>
      </c>
    </row>
    <row r="149" spans="1:17">
      <c r="A149" s="19"/>
      <c r="B149" s="56" t="s">
        <v>1511</v>
      </c>
      <c r="C149" s="62">
        <v>1.05</v>
      </c>
      <c r="D149" s="57" t="s">
        <v>1510</v>
      </c>
      <c r="E149" s="61">
        <f>Materiales!$D$105</f>
        <v>5677.9661016949149</v>
      </c>
      <c r="F149" s="61">
        <f>+E149*0.18</f>
        <v>1022.0338983050847</v>
      </c>
      <c r="G149" s="17">
        <f t="shared" ref="G149:G155" si="10">+C149*E149+C149*F149</f>
        <v>7035</v>
      </c>
      <c r="H149" s="12"/>
      <c r="J149">
        <f>+K148/0.15</f>
        <v>83.333333333333329</v>
      </c>
      <c r="K149">
        <v>83</v>
      </c>
      <c r="L149">
        <f>0.4*2+0.2*2</f>
        <v>1.2000000000000002</v>
      </c>
      <c r="M149">
        <v>3.2810000000000001</v>
      </c>
      <c r="N149">
        <v>0.378</v>
      </c>
      <c r="O149">
        <f>+K149*L149*M149*N149/100</f>
        <v>1.2352571280000002</v>
      </c>
      <c r="P149">
        <f>SUM(O148:O149)</f>
        <v>1.7821178030000002</v>
      </c>
      <c r="Q149">
        <f>+P149*1.05</f>
        <v>1.8712236931500004</v>
      </c>
    </row>
    <row r="150" spans="1:17">
      <c r="A150" s="19"/>
      <c r="B150" s="56" t="s">
        <v>1690</v>
      </c>
      <c r="C150" s="62">
        <v>1.9507595624999996</v>
      </c>
      <c r="D150" s="57" t="s">
        <v>1513</v>
      </c>
      <c r="E150" s="61">
        <f>Materiales!$D$38</f>
        <v>3305.0847457627119</v>
      </c>
      <c r="F150" s="61">
        <f t="shared" ref="F150:F153" si="11">+E150*0.18</f>
        <v>594.91525423728808</v>
      </c>
      <c r="G150" s="17">
        <f t="shared" si="10"/>
        <v>7607.9622937499989</v>
      </c>
      <c r="H150" s="12"/>
    </row>
    <row r="151" spans="1:17">
      <c r="A151" s="19"/>
      <c r="B151" s="56" t="s">
        <v>1645</v>
      </c>
      <c r="C151" s="62">
        <v>0.57420370874999993</v>
      </c>
      <c r="D151" s="57" t="s">
        <v>1513</v>
      </c>
      <c r="E151" s="61">
        <f>Materiales!$D$38</f>
        <v>3305.0847457627119</v>
      </c>
      <c r="F151" s="61">
        <f t="shared" si="11"/>
        <v>594.91525423728808</v>
      </c>
      <c r="G151" s="17">
        <f t="shared" si="10"/>
        <v>2239.3944641249996</v>
      </c>
      <c r="H151" s="12"/>
    </row>
    <row r="152" spans="1:17">
      <c r="A152" s="19"/>
      <c r="B152" s="56" t="s">
        <v>1646</v>
      </c>
      <c r="C152" s="62">
        <v>1.7821178030000002</v>
      </c>
      <c r="D152" s="57" t="s">
        <v>1513</v>
      </c>
      <c r="E152" s="61">
        <f>Materiales!$D$38</f>
        <v>3305.0847457627119</v>
      </c>
      <c r="F152" s="61">
        <f t="shared" si="11"/>
        <v>594.91525423728808</v>
      </c>
      <c r="G152" s="17">
        <f t="shared" si="10"/>
        <v>6950.2594317000003</v>
      </c>
      <c r="H152" s="18"/>
      <c r="O152">
        <f>SUM(O147:O149)</f>
        <v>3.6399840529999996</v>
      </c>
      <c r="P152">
        <f>+O152*1.05</f>
        <v>3.8219832556499997</v>
      </c>
    </row>
    <row r="153" spans="1:17">
      <c r="A153" s="19"/>
      <c r="B153" s="56" t="s">
        <v>1514</v>
      </c>
      <c r="C153" s="62">
        <f>+(C150+C151+C152)*2</f>
        <v>8.6141621485000002</v>
      </c>
      <c r="D153" s="57" t="s">
        <v>1515</v>
      </c>
      <c r="E153" s="61">
        <f>Materiales!$D$50</f>
        <v>93.220338983050851</v>
      </c>
      <c r="F153" s="61">
        <f t="shared" si="11"/>
        <v>16.779661016949152</v>
      </c>
      <c r="G153" s="17">
        <f t="shared" si="10"/>
        <v>947.55783633500005</v>
      </c>
      <c r="H153" s="12"/>
    </row>
    <row r="154" spans="1:17">
      <c r="A154" s="19"/>
      <c r="B154" s="56" t="s">
        <v>1516</v>
      </c>
      <c r="C154" s="62">
        <v>12.5</v>
      </c>
      <c r="D154" s="57" t="s">
        <v>43</v>
      </c>
      <c r="E154" s="61">
        <v>107.87</v>
      </c>
      <c r="F154" s="61"/>
      <c r="G154" s="17">
        <f t="shared" si="10"/>
        <v>1348.375</v>
      </c>
      <c r="H154" s="12"/>
    </row>
    <row r="155" spans="1:17">
      <c r="A155" s="19"/>
      <c r="B155" s="56" t="s">
        <v>1517</v>
      </c>
      <c r="C155" s="62">
        <v>12.5</v>
      </c>
      <c r="D155" s="57" t="s">
        <v>43</v>
      </c>
      <c r="E155" s="61">
        <v>346</v>
      </c>
      <c r="F155" s="61"/>
      <c r="G155" s="17">
        <f t="shared" si="10"/>
        <v>4325</v>
      </c>
      <c r="H155" s="12"/>
    </row>
    <row r="156" spans="1:17" ht="15.75" thickBot="1">
      <c r="A156" s="21"/>
      <c r="B156" s="22"/>
      <c r="C156" s="23"/>
      <c r="D156" s="24" t="s">
        <v>111</v>
      </c>
      <c r="E156" s="78"/>
      <c r="F156" s="79"/>
      <c r="G156" s="26">
        <f>SUM(G149:G155)</f>
        <v>30453.549025909997</v>
      </c>
      <c r="H156" s="27" t="s">
        <v>106</v>
      </c>
    </row>
    <row r="157" spans="1:17" ht="15.75" thickTop="1">
      <c r="B157" s="55"/>
    </row>
    <row r="158" spans="1:17">
      <c r="A158" s="64"/>
      <c r="B158" s="370" t="e">
        <f>#REF!</f>
        <v>#REF!</v>
      </c>
      <c r="C158" s="370"/>
      <c r="D158" s="370"/>
      <c r="E158" s="370"/>
      <c r="F158" s="370"/>
      <c r="G158" s="370"/>
      <c r="H158" s="370"/>
      <c r="J158">
        <f>0.2*0.4</f>
        <v>8.0000000000000016E-2</v>
      </c>
      <c r="K158">
        <f>1/J158</f>
        <v>12.499999999999998</v>
      </c>
      <c r="L158">
        <v>2</v>
      </c>
      <c r="M158">
        <v>3.2810000000000001</v>
      </c>
      <c r="N158">
        <v>1.51</v>
      </c>
      <c r="O158">
        <f>+K158*L158*M158*N158/100</f>
        <v>1.2385774999999999</v>
      </c>
      <c r="P158">
        <f>+O158*1.05</f>
        <v>1.3005063749999999</v>
      </c>
    </row>
    <row r="159" spans="1:17">
      <c r="A159" s="6"/>
      <c r="B159" s="7"/>
      <c r="C159" s="8" t="s">
        <v>98</v>
      </c>
      <c r="D159" s="9" t="s">
        <v>39</v>
      </c>
      <c r="E159" s="74" t="s">
        <v>99</v>
      </c>
      <c r="F159" s="75" t="s">
        <v>100</v>
      </c>
      <c r="G159" s="11" t="s">
        <v>101</v>
      </c>
      <c r="H159" s="12"/>
      <c r="J159">
        <f>1/J158</f>
        <v>12.499999999999998</v>
      </c>
      <c r="K159">
        <f>+K158</f>
        <v>12.499999999999998</v>
      </c>
      <c r="L159">
        <v>3</v>
      </c>
      <c r="M159">
        <v>3.2810000000000001</v>
      </c>
      <c r="N159">
        <v>0.66669999999999996</v>
      </c>
      <c r="O159">
        <f>+K159*L159*M159*N159/100</f>
        <v>0.82029101249999981</v>
      </c>
      <c r="P159">
        <f>+O159*1.05</f>
        <v>0.86130556312499984</v>
      </c>
    </row>
    <row r="160" spans="1:17">
      <c r="A160" s="19"/>
      <c r="B160" s="56" t="s">
        <v>1511</v>
      </c>
      <c r="C160" s="62">
        <v>1.05</v>
      </c>
      <c r="D160" s="57" t="s">
        <v>1510</v>
      </c>
      <c r="E160" s="61">
        <f>Materiales!$D$105</f>
        <v>5677.9661016949149</v>
      </c>
      <c r="F160" s="61">
        <f>+E160*0.18</f>
        <v>1022.0338983050847</v>
      </c>
      <c r="G160" s="17">
        <f t="shared" ref="G160:G166" si="12">+C160*E160+C160*F160</f>
        <v>7035</v>
      </c>
      <c r="H160" s="12"/>
      <c r="J160">
        <f>+K159/0.2</f>
        <v>62.499999999999986</v>
      </c>
      <c r="K160">
        <v>63</v>
      </c>
      <c r="L160">
        <f>0.4*2+0.2*2</f>
        <v>1.2000000000000002</v>
      </c>
      <c r="M160">
        <v>3.2810000000000001</v>
      </c>
      <c r="N160">
        <v>0.378</v>
      </c>
      <c r="O160">
        <f>+K160*L160*M160*N160/100</f>
        <v>0.93760480800000012</v>
      </c>
      <c r="P160">
        <f>+O160*1.05</f>
        <v>0.98448504840000017</v>
      </c>
      <c r="Q160">
        <f>+P160*1.05</f>
        <v>1.0337093008200002</v>
      </c>
    </row>
    <row r="161" spans="1:17">
      <c r="A161" s="19"/>
      <c r="B161" s="56" t="s">
        <v>1690</v>
      </c>
      <c r="C161" s="62">
        <v>1.3</v>
      </c>
      <c r="D161" s="57" t="s">
        <v>1513</v>
      </c>
      <c r="E161" s="61">
        <f>Materiales!$D$38</f>
        <v>3305.0847457627119</v>
      </c>
      <c r="F161" s="61">
        <f t="shared" ref="F161:F164" si="13">+E161*0.18</f>
        <v>594.91525423728808</v>
      </c>
      <c r="G161" s="17">
        <f t="shared" si="12"/>
        <v>5070.0000000000009</v>
      </c>
      <c r="H161" s="12"/>
    </row>
    <row r="162" spans="1:17">
      <c r="A162" s="19"/>
      <c r="B162" s="56" t="s">
        <v>1645</v>
      </c>
      <c r="C162" s="62">
        <f>0.86+0.211</f>
        <v>1.071</v>
      </c>
      <c r="D162" s="57" t="s">
        <v>1513</v>
      </c>
      <c r="E162" s="61">
        <f>Materiales!$D$38</f>
        <v>3305.0847457627119</v>
      </c>
      <c r="F162" s="61">
        <f t="shared" ref="F162:F163" si="14">+E162*0.18</f>
        <v>594.91525423728808</v>
      </c>
      <c r="G162" s="17">
        <f t="shared" ref="G162:G163" si="15">+C162*E162+C162*F162</f>
        <v>4176.8999999999996</v>
      </c>
      <c r="H162" s="18"/>
      <c r="L162">
        <f>1/K163</f>
        <v>12.499999999999998</v>
      </c>
      <c r="O162">
        <f>SUM(O158:O160)</f>
        <v>2.9964733204999998</v>
      </c>
      <c r="P162">
        <f>+O162*1.05</f>
        <v>3.1462969865249999</v>
      </c>
    </row>
    <row r="163" spans="1:17">
      <c r="A163" s="19"/>
      <c r="B163" s="56" t="s">
        <v>1646</v>
      </c>
      <c r="C163" s="62">
        <v>0.99</v>
      </c>
      <c r="D163" s="57" t="s">
        <v>1513</v>
      </c>
      <c r="E163" s="61">
        <f>Materiales!$D$38</f>
        <v>3305.0847457627119</v>
      </c>
      <c r="F163" s="61">
        <f t="shared" si="14"/>
        <v>594.91525423728808</v>
      </c>
      <c r="G163" s="17">
        <f t="shared" si="15"/>
        <v>3861</v>
      </c>
      <c r="H163" s="18"/>
      <c r="J163">
        <f>4*2.5*3.281*0.6667/100</f>
        <v>0.21874427000000002</v>
      </c>
      <c r="K163">
        <f>0.2*0.4</f>
        <v>8.0000000000000016E-2</v>
      </c>
    </row>
    <row r="164" spans="1:17">
      <c r="A164" s="19"/>
      <c r="B164" s="56" t="s">
        <v>1514</v>
      </c>
      <c r="C164" s="62">
        <f>+(C161+C162+C163)*2</f>
        <v>6.7219999999999995</v>
      </c>
      <c r="D164" s="57" t="s">
        <v>1515</v>
      </c>
      <c r="E164" s="61">
        <f>Materiales!$D$50</f>
        <v>93.220338983050851</v>
      </c>
      <c r="F164" s="61">
        <f t="shared" si="13"/>
        <v>16.779661016949152</v>
      </c>
      <c r="G164" s="17">
        <f t="shared" si="12"/>
        <v>739.42</v>
      </c>
      <c r="H164" s="12"/>
      <c r="J164">
        <f>+J163/1.5</f>
        <v>0.14582951333333335</v>
      </c>
    </row>
    <row r="165" spans="1:17">
      <c r="A165" s="19"/>
      <c r="B165" s="56" t="s">
        <v>1516</v>
      </c>
      <c r="C165" s="62">
        <v>12.5</v>
      </c>
      <c r="D165" s="57" t="s">
        <v>43</v>
      </c>
      <c r="E165" s="61">
        <v>107.87</v>
      </c>
      <c r="F165" s="61"/>
      <c r="G165" s="17">
        <f t="shared" si="12"/>
        <v>1348.375</v>
      </c>
      <c r="H165" s="12"/>
      <c r="J165">
        <f>+J164*1.1</f>
        <v>0.1604124646666667</v>
      </c>
    </row>
    <row r="166" spans="1:17">
      <c r="A166" s="19"/>
      <c r="B166" s="56" t="s">
        <v>1517</v>
      </c>
      <c r="C166" s="62">
        <v>12.5</v>
      </c>
      <c r="D166" s="57" t="s">
        <v>43</v>
      </c>
      <c r="E166" s="61">
        <v>346</v>
      </c>
      <c r="F166" s="61"/>
      <c r="G166" s="17">
        <f t="shared" si="12"/>
        <v>4325</v>
      </c>
      <c r="H166" s="12"/>
    </row>
    <row r="167" spans="1:17" ht="15.75" thickBot="1">
      <c r="A167" s="21"/>
      <c r="B167" s="22"/>
      <c r="C167" s="23"/>
      <c r="D167" s="24" t="s">
        <v>111</v>
      </c>
      <c r="E167" s="78"/>
      <c r="F167" s="79"/>
      <c r="G167" s="26">
        <f>SUM(G160:G166)</f>
        <v>26555.695</v>
      </c>
      <c r="H167" s="27" t="s">
        <v>106</v>
      </c>
    </row>
    <row r="168" spans="1:17" ht="15.75" thickTop="1">
      <c r="B168" s="55"/>
    </row>
    <row r="169" spans="1:17">
      <c r="A169" s="64"/>
      <c r="B169" s="370" t="e">
        <f>#REF!</f>
        <v>#REF!</v>
      </c>
      <c r="C169" s="370"/>
      <c r="D169" s="370"/>
      <c r="E169" s="370"/>
      <c r="F169" s="370"/>
      <c r="G169" s="370"/>
      <c r="H169" s="370"/>
      <c r="J169">
        <f>0.25*0.3</f>
        <v>7.4999999999999997E-2</v>
      </c>
      <c r="K169">
        <f>1/J169</f>
        <v>13.333333333333334</v>
      </c>
      <c r="L169">
        <v>4</v>
      </c>
      <c r="M169">
        <v>3.2810000000000001</v>
      </c>
      <c r="N169">
        <v>1.51</v>
      </c>
      <c r="O169">
        <f>+K169*L169*M169*N169/100</f>
        <v>2.642298666666667</v>
      </c>
      <c r="P169">
        <f>+O169*1.05</f>
        <v>2.7744136000000004</v>
      </c>
    </row>
    <row r="170" spans="1:17">
      <c r="A170" s="6"/>
      <c r="B170" s="7"/>
      <c r="C170" s="8" t="s">
        <v>98</v>
      </c>
      <c r="D170" s="9" t="s">
        <v>39</v>
      </c>
      <c r="E170" s="74" t="s">
        <v>99</v>
      </c>
      <c r="F170" s="75" t="s">
        <v>100</v>
      </c>
      <c r="G170" s="11" t="s">
        <v>101</v>
      </c>
      <c r="H170" s="12"/>
      <c r="J170">
        <f>1/J169</f>
        <v>13.333333333333334</v>
      </c>
      <c r="K170">
        <f>+K169</f>
        <v>13.333333333333334</v>
      </c>
      <c r="L170">
        <v>2</v>
      </c>
      <c r="M170">
        <v>3.2810000000000001</v>
      </c>
      <c r="N170">
        <v>0.66669999999999996</v>
      </c>
      <c r="O170">
        <f>+K170*L170*M170*N170/100</f>
        <v>0.58331805333333331</v>
      </c>
      <c r="P170">
        <f>+O170*1.05</f>
        <v>0.61248395600000005</v>
      </c>
    </row>
    <row r="171" spans="1:17">
      <c r="A171" s="19"/>
      <c r="B171" s="56" t="s">
        <v>1511</v>
      </c>
      <c r="C171" s="62">
        <v>1.05</v>
      </c>
      <c r="D171" s="57" t="s">
        <v>1510</v>
      </c>
      <c r="E171" s="61">
        <f>Materiales!$D$105</f>
        <v>5677.9661016949149</v>
      </c>
      <c r="F171" s="61">
        <f>+E171*0.18</f>
        <v>1022.0338983050847</v>
      </c>
      <c r="G171" s="17">
        <f t="shared" ref="G171:G177" si="16">+C171*E171+C171*F171</f>
        <v>7035</v>
      </c>
      <c r="H171" s="12"/>
      <c r="J171">
        <f>+K170/0.2</f>
        <v>66.666666666666671</v>
      </c>
      <c r="K171">
        <v>67</v>
      </c>
      <c r="L171">
        <f>0.25*2+0.3*2</f>
        <v>1.1000000000000001</v>
      </c>
      <c r="M171">
        <v>3.2810000000000001</v>
      </c>
      <c r="N171">
        <v>0.378</v>
      </c>
      <c r="O171">
        <f>+K171*L171*M171*N171/100</f>
        <v>0.91404066600000011</v>
      </c>
      <c r="P171">
        <f>+O171*1.05</f>
        <v>0.95974269930000011</v>
      </c>
      <c r="Q171">
        <f>+P171*1.05</f>
        <v>1.0077298342650001</v>
      </c>
    </row>
    <row r="172" spans="1:17">
      <c r="A172" s="19"/>
      <c r="B172" s="56" t="s">
        <v>1690</v>
      </c>
      <c r="C172" s="62">
        <v>2.7744136000000004</v>
      </c>
      <c r="D172" s="57" t="s">
        <v>1513</v>
      </c>
      <c r="E172" s="61">
        <f>Materiales!$D$38</f>
        <v>3305.0847457627119</v>
      </c>
      <c r="F172" s="61">
        <f t="shared" ref="F172:F175" si="17">+E172*0.18</f>
        <v>594.91525423728808</v>
      </c>
      <c r="G172" s="17">
        <f t="shared" si="16"/>
        <v>10820.213040000001</v>
      </c>
      <c r="H172" s="12"/>
    </row>
    <row r="173" spans="1:17">
      <c r="A173" s="19"/>
      <c r="B173" s="56" t="s">
        <v>1645</v>
      </c>
      <c r="C173" s="62">
        <v>0.61248395600000005</v>
      </c>
      <c r="D173" s="57" t="s">
        <v>1513</v>
      </c>
      <c r="E173" s="61">
        <f>Materiales!$D$38</f>
        <v>3305.0847457627119</v>
      </c>
      <c r="F173" s="61">
        <f t="shared" si="17"/>
        <v>594.91525423728808</v>
      </c>
      <c r="G173" s="17">
        <f t="shared" si="16"/>
        <v>2388.6874284</v>
      </c>
      <c r="H173" s="18"/>
      <c r="O173">
        <f>SUM(O169:O171)</f>
        <v>4.1396573860000005</v>
      </c>
      <c r="P173">
        <f>+O173*1.05</f>
        <v>4.3466402553000005</v>
      </c>
    </row>
    <row r="174" spans="1:17">
      <c r="A174" s="19"/>
      <c r="B174" s="56" t="s">
        <v>1646</v>
      </c>
      <c r="C174" s="62">
        <v>0.95974269930000011</v>
      </c>
      <c r="D174" s="57" t="s">
        <v>1513</v>
      </c>
      <c r="E174" s="61">
        <f>Materiales!$D$38</f>
        <v>3305.0847457627119</v>
      </c>
      <c r="F174" s="61">
        <f t="shared" si="17"/>
        <v>594.91525423728808</v>
      </c>
      <c r="G174" s="17">
        <f t="shared" si="16"/>
        <v>3742.9965272700006</v>
      </c>
      <c r="H174" s="18"/>
    </row>
    <row r="175" spans="1:17">
      <c r="A175" s="19"/>
      <c r="B175" s="56" t="s">
        <v>1514</v>
      </c>
      <c r="C175" s="62">
        <f>+(C172+C173+C174)*2</f>
        <v>8.6932805106000011</v>
      </c>
      <c r="D175" s="57" t="s">
        <v>1515</v>
      </c>
      <c r="E175" s="61">
        <f>Materiales!$D$50</f>
        <v>93.220338983050851</v>
      </c>
      <c r="F175" s="61">
        <f t="shared" si="17"/>
        <v>16.779661016949152</v>
      </c>
      <c r="G175" s="17">
        <f t="shared" si="16"/>
        <v>956.26085616600017</v>
      </c>
      <c r="H175" s="12"/>
    </row>
    <row r="176" spans="1:17">
      <c r="A176" s="19"/>
      <c r="B176" s="56" t="s">
        <v>1516</v>
      </c>
      <c r="C176" s="62">
        <v>13.33333</v>
      </c>
      <c r="D176" s="57" t="s">
        <v>43</v>
      </c>
      <c r="E176" s="61">
        <v>107.87</v>
      </c>
      <c r="F176" s="61"/>
      <c r="G176" s="17">
        <f t="shared" si="16"/>
        <v>1438.2663071000002</v>
      </c>
      <c r="H176" s="12"/>
    </row>
    <row r="177" spans="1:17">
      <c r="A177" s="19"/>
      <c r="B177" s="56" t="s">
        <v>1517</v>
      </c>
      <c r="C177" s="62">
        <v>13.33333</v>
      </c>
      <c r="D177" s="57" t="s">
        <v>43</v>
      </c>
      <c r="E177" s="61">
        <v>346</v>
      </c>
      <c r="F177" s="61"/>
      <c r="G177" s="17">
        <f t="shared" si="16"/>
        <v>4613.3321800000003</v>
      </c>
      <c r="H177" s="12"/>
    </row>
    <row r="178" spans="1:17" ht="15.75" thickBot="1">
      <c r="A178" s="21"/>
      <c r="B178" s="22"/>
      <c r="C178" s="23"/>
      <c r="D178" s="24" t="s">
        <v>111</v>
      </c>
      <c r="E178" s="78"/>
      <c r="F178" s="79"/>
      <c r="G178" s="26">
        <f>SUM(G171:G177)</f>
        <v>30994.756338936004</v>
      </c>
      <c r="H178" s="27" t="s">
        <v>106</v>
      </c>
    </row>
    <row r="179" spans="1:17" ht="15.75" thickTop="1">
      <c r="B179" s="55"/>
    </row>
    <row r="180" spans="1:17">
      <c r="A180" s="64"/>
      <c r="B180" s="370" t="e">
        <f>#REF!</f>
        <v>#REF!</v>
      </c>
      <c r="C180" s="370"/>
      <c r="D180" s="370"/>
      <c r="E180" s="370"/>
      <c r="F180" s="370"/>
      <c r="G180" s="370"/>
      <c r="H180" s="370"/>
      <c r="J180">
        <f>0.25*0.3</f>
        <v>7.4999999999999997E-2</v>
      </c>
      <c r="K180">
        <f>1/J180</f>
        <v>13.333333333333334</v>
      </c>
      <c r="L180">
        <v>3</v>
      </c>
      <c r="M180">
        <v>3.2810000000000001</v>
      </c>
      <c r="N180">
        <v>1.51</v>
      </c>
      <c r="O180">
        <f>+K180*L180*M180*N180/100</f>
        <v>1.981724</v>
      </c>
      <c r="P180">
        <f>+O180*1.05</f>
        <v>2.0808102000000002</v>
      </c>
    </row>
    <row r="181" spans="1:17">
      <c r="A181" s="6"/>
      <c r="B181" s="7"/>
      <c r="C181" s="8" t="s">
        <v>98</v>
      </c>
      <c r="D181" s="9" t="s">
        <v>39</v>
      </c>
      <c r="E181" s="74" t="s">
        <v>99</v>
      </c>
      <c r="F181" s="75" t="s">
        <v>100</v>
      </c>
      <c r="G181" s="11" t="s">
        <v>101</v>
      </c>
      <c r="H181" s="12"/>
      <c r="J181">
        <f>1/J180</f>
        <v>13.333333333333334</v>
      </c>
      <c r="K181">
        <f>+K180</f>
        <v>13.333333333333334</v>
      </c>
      <c r="L181">
        <v>2</v>
      </c>
      <c r="M181">
        <v>3.2810000000000001</v>
      </c>
      <c r="N181">
        <v>0.66669999999999996</v>
      </c>
      <c r="O181">
        <f>+K181*L181*M181*N181/100</f>
        <v>0.58331805333333331</v>
      </c>
      <c r="P181">
        <f>+O181*1.05</f>
        <v>0.61248395600000005</v>
      </c>
    </row>
    <row r="182" spans="1:17">
      <c r="A182" s="19"/>
      <c r="B182" s="56" t="s">
        <v>1511</v>
      </c>
      <c r="C182" s="62">
        <v>1.05</v>
      </c>
      <c r="D182" s="57" t="s">
        <v>1510</v>
      </c>
      <c r="E182" s="61">
        <f>Materiales!$D$105</f>
        <v>5677.9661016949149</v>
      </c>
      <c r="F182" s="61">
        <f>+E182*0.18</f>
        <v>1022.0338983050847</v>
      </c>
      <c r="G182" s="17">
        <f t="shared" ref="G182:G188" si="18">+C182*E182+C182*F182</f>
        <v>7035</v>
      </c>
      <c r="H182" s="12"/>
      <c r="J182">
        <f>+K181/0.2</f>
        <v>66.666666666666671</v>
      </c>
      <c r="K182">
        <v>67</v>
      </c>
      <c r="L182">
        <f>0.25*2+0.3*2</f>
        <v>1.1000000000000001</v>
      </c>
      <c r="M182">
        <v>3.2810000000000001</v>
      </c>
      <c r="N182">
        <v>0.378</v>
      </c>
      <c r="O182">
        <f>+K182*L182*M182*N182/100</f>
        <v>0.91404066600000011</v>
      </c>
      <c r="P182">
        <f>+O182*1.05</f>
        <v>0.95974269930000011</v>
      </c>
      <c r="Q182">
        <f>+P182*1.05</f>
        <v>1.0077298342650001</v>
      </c>
    </row>
    <row r="183" spans="1:17">
      <c r="A183" s="19"/>
      <c r="B183" s="56" t="s">
        <v>1690</v>
      </c>
      <c r="C183" s="62">
        <v>2.0808102000000002</v>
      </c>
      <c r="D183" s="57" t="s">
        <v>1513</v>
      </c>
      <c r="E183" s="61">
        <f>Materiales!$D$38</f>
        <v>3305.0847457627119</v>
      </c>
      <c r="F183" s="61">
        <f t="shared" ref="F183:F186" si="19">+E183*0.18</f>
        <v>594.91525423728808</v>
      </c>
      <c r="G183" s="17">
        <f t="shared" si="18"/>
        <v>8115.1597800000009</v>
      </c>
      <c r="H183" s="12"/>
    </row>
    <row r="184" spans="1:17">
      <c r="A184" s="19"/>
      <c r="B184" s="56" t="s">
        <v>1645</v>
      </c>
      <c r="C184" s="62">
        <v>0.61248395600000005</v>
      </c>
      <c r="D184" s="57" t="s">
        <v>1513</v>
      </c>
      <c r="E184" s="61">
        <f>Materiales!$D$38</f>
        <v>3305.0847457627119</v>
      </c>
      <c r="F184" s="61">
        <f t="shared" si="19"/>
        <v>594.91525423728808</v>
      </c>
      <c r="G184" s="17">
        <f t="shared" si="18"/>
        <v>2388.6874284</v>
      </c>
      <c r="H184" s="18"/>
      <c r="O184">
        <f>SUM(O180:O182)</f>
        <v>3.4790827193333334</v>
      </c>
      <c r="P184">
        <f>+O184*1.05</f>
        <v>3.6530368553000003</v>
      </c>
    </row>
    <row r="185" spans="1:17">
      <c r="A185" s="19"/>
      <c r="B185" s="56" t="s">
        <v>1646</v>
      </c>
      <c r="C185" s="62">
        <v>0.95974269930000011</v>
      </c>
      <c r="D185" s="57" t="s">
        <v>1513</v>
      </c>
      <c r="E185" s="61">
        <f>Materiales!$D$38</f>
        <v>3305.0847457627119</v>
      </c>
      <c r="F185" s="61">
        <f t="shared" si="19"/>
        <v>594.91525423728808</v>
      </c>
      <c r="G185" s="17">
        <f t="shared" si="18"/>
        <v>3742.9965272700006</v>
      </c>
      <c r="H185" s="18"/>
    </row>
    <row r="186" spans="1:17">
      <c r="A186" s="19"/>
      <c r="B186" s="56" t="s">
        <v>1514</v>
      </c>
      <c r="C186" s="62">
        <f>+(C183+C184+C185)*2</f>
        <v>7.3060737106000007</v>
      </c>
      <c r="D186" s="57" t="s">
        <v>1515</v>
      </c>
      <c r="E186" s="61">
        <f>Materiales!$D$50</f>
        <v>93.220338983050851</v>
      </c>
      <c r="F186" s="61">
        <f t="shared" si="19"/>
        <v>16.779661016949152</v>
      </c>
      <c r="G186" s="17">
        <f t="shared" si="18"/>
        <v>803.66810816600014</v>
      </c>
      <c r="H186" s="12"/>
    </row>
    <row r="187" spans="1:17">
      <c r="A187" s="19"/>
      <c r="B187" s="56" t="s">
        <v>1516</v>
      </c>
      <c r="C187" s="62">
        <v>13.33333</v>
      </c>
      <c r="D187" s="57" t="s">
        <v>43</v>
      </c>
      <c r="E187" s="61">
        <v>107.87</v>
      </c>
      <c r="F187" s="61"/>
      <c r="G187" s="17">
        <f t="shared" si="18"/>
        <v>1438.2663071000002</v>
      </c>
      <c r="H187" s="12"/>
    </row>
    <row r="188" spans="1:17">
      <c r="A188" s="19"/>
      <c r="B188" s="56" t="s">
        <v>1517</v>
      </c>
      <c r="C188" s="62">
        <v>13.33333</v>
      </c>
      <c r="D188" s="57" t="s">
        <v>43</v>
      </c>
      <c r="E188" s="61">
        <v>346</v>
      </c>
      <c r="F188" s="61"/>
      <c r="G188" s="17">
        <f t="shared" si="18"/>
        <v>4613.3321800000003</v>
      </c>
      <c r="H188" s="12"/>
    </row>
    <row r="189" spans="1:17" ht="15.75" thickBot="1">
      <c r="A189" s="21"/>
      <c r="B189" s="22"/>
      <c r="C189" s="23"/>
      <c r="D189" s="24" t="s">
        <v>111</v>
      </c>
      <c r="E189" s="78"/>
      <c r="F189" s="79"/>
      <c r="G189" s="26">
        <f>SUM(G182:G188)</f>
        <v>28137.110330936001</v>
      </c>
      <c r="H189" s="27" t="s">
        <v>106</v>
      </c>
    </row>
    <row r="190" spans="1:17" ht="15.75" thickTop="1">
      <c r="B190" s="55"/>
    </row>
    <row r="191" spans="1:17">
      <c r="A191" s="64"/>
      <c r="B191" s="370" t="e">
        <f>#REF!</f>
        <v>#REF!</v>
      </c>
      <c r="C191" s="370"/>
      <c r="D191" s="370"/>
      <c r="E191" s="370"/>
      <c r="F191" s="370"/>
      <c r="G191" s="370"/>
      <c r="H191" s="370"/>
      <c r="J191">
        <f>0.2*0.4</f>
        <v>8.0000000000000016E-2</v>
      </c>
      <c r="K191">
        <f>1/J191</f>
        <v>12.499999999999998</v>
      </c>
      <c r="L191">
        <v>2</v>
      </c>
      <c r="M191">
        <v>1.51</v>
      </c>
      <c r="N191">
        <v>3.2810000000000001</v>
      </c>
      <c r="O191">
        <f>+K191*L191*M191*N191/100</f>
        <v>1.2385774999999999</v>
      </c>
      <c r="P191">
        <f>+O191*1.1</f>
        <v>1.3624352499999999</v>
      </c>
    </row>
    <row r="192" spans="1:17">
      <c r="A192" s="6"/>
      <c r="B192" s="7"/>
      <c r="C192" s="8" t="s">
        <v>98</v>
      </c>
      <c r="D192" s="9" t="s">
        <v>39</v>
      </c>
      <c r="E192" s="74" t="s">
        <v>99</v>
      </c>
      <c r="F192" s="75" t="s">
        <v>100</v>
      </c>
      <c r="G192" s="11" t="s">
        <v>101</v>
      </c>
      <c r="H192" s="12"/>
      <c r="K192">
        <v>12.5</v>
      </c>
      <c r="L192">
        <v>3</v>
      </c>
      <c r="M192">
        <v>0.66700000000000004</v>
      </c>
      <c r="N192">
        <v>3.2810000000000001</v>
      </c>
      <c r="O192">
        <f>+K192*L192*M192*N192/100</f>
        <v>0.82066012500000018</v>
      </c>
      <c r="P192">
        <f t="shared" ref="P192:P193" si="20">+O192*1.1</f>
        <v>0.9027261375000003</v>
      </c>
    </row>
    <row r="193" spans="1:17">
      <c r="A193" s="19"/>
      <c r="B193" s="56" t="s">
        <v>1511</v>
      </c>
      <c r="C193" s="62">
        <v>1.05</v>
      </c>
      <c r="D193" s="57" t="s">
        <v>1510</v>
      </c>
      <c r="E193" s="61">
        <f>Materiales!$D$105</f>
        <v>5677.9661016949149</v>
      </c>
      <c r="F193" s="61">
        <f>+E193*0.18</f>
        <v>1022.0338983050847</v>
      </c>
      <c r="G193" s="17">
        <f t="shared" ref="G193:G199" si="21">+C193*E193+C193*F193</f>
        <v>7035</v>
      </c>
      <c r="H193" s="12"/>
      <c r="J193">
        <f>+K192/0.15</f>
        <v>83.333333333333343</v>
      </c>
      <c r="K193">
        <v>84</v>
      </c>
      <c r="L193">
        <f>0.4*2+0.2*2</f>
        <v>1.2000000000000002</v>
      </c>
      <c r="M193">
        <v>0.378</v>
      </c>
      <c r="N193">
        <v>3.2810000000000001</v>
      </c>
      <c r="O193">
        <f>+K193*L193*M193*N193/100</f>
        <v>1.2501397440000002</v>
      </c>
      <c r="P193">
        <f t="shared" si="20"/>
        <v>1.3751537184000002</v>
      </c>
    </row>
    <row r="194" spans="1:17">
      <c r="A194" s="19"/>
      <c r="B194" s="56" t="s">
        <v>1690</v>
      </c>
      <c r="C194" s="62">
        <v>1.3624352499999999</v>
      </c>
      <c r="D194" s="57" t="s">
        <v>1513</v>
      </c>
      <c r="E194" s="61">
        <f>Materiales!$D$38</f>
        <v>3305.0847457627119</v>
      </c>
      <c r="F194" s="61">
        <f t="shared" ref="F194:F197" si="22">+E194*0.18</f>
        <v>594.91525423728808</v>
      </c>
      <c r="G194" s="17">
        <f t="shared" si="21"/>
        <v>5313.4974750000001</v>
      </c>
      <c r="H194" s="12"/>
    </row>
    <row r="195" spans="1:17">
      <c r="A195" s="19"/>
      <c r="B195" s="56" t="s">
        <v>1645</v>
      </c>
      <c r="C195" s="62">
        <f>0.905+0.12</f>
        <v>1.0249999999999999</v>
      </c>
      <c r="D195" s="57" t="s">
        <v>1513</v>
      </c>
      <c r="E195" s="61">
        <f>Materiales!$D$38</f>
        <v>3305.0847457627119</v>
      </c>
      <c r="F195" s="61">
        <f t="shared" si="22"/>
        <v>594.91525423728808</v>
      </c>
      <c r="G195" s="17">
        <f t="shared" si="21"/>
        <v>3997.5</v>
      </c>
      <c r="H195" s="18"/>
      <c r="J195">
        <f>2*4*3.281*0.6667/100</f>
        <v>0.17499541600000001</v>
      </c>
    </row>
    <row r="196" spans="1:17">
      <c r="A196" s="19"/>
      <c r="B196" s="56" t="s">
        <v>1646</v>
      </c>
      <c r="C196" s="62">
        <v>1.3751537184000002</v>
      </c>
      <c r="D196" s="57" t="s">
        <v>1513</v>
      </c>
      <c r="E196" s="61">
        <f>Materiales!$D$38</f>
        <v>3305.0847457627119</v>
      </c>
      <c r="F196" s="61">
        <f t="shared" si="22"/>
        <v>594.91525423728808</v>
      </c>
      <c r="G196" s="17">
        <f t="shared" si="21"/>
        <v>5363.0995017600007</v>
      </c>
      <c r="H196" s="18"/>
      <c r="J196">
        <f>+J195/1.5</f>
        <v>0.11666361066666668</v>
      </c>
    </row>
    <row r="197" spans="1:17">
      <c r="A197" s="19"/>
      <c r="B197" s="56" t="s">
        <v>1514</v>
      </c>
      <c r="C197" s="62">
        <f>+(C194+C195+C196)*2</f>
        <v>7.5251779368000005</v>
      </c>
      <c r="D197" s="57" t="s">
        <v>1515</v>
      </c>
      <c r="E197" s="61">
        <f>Materiales!$D$50</f>
        <v>93.220338983050851</v>
      </c>
      <c r="F197" s="61">
        <f t="shared" si="22"/>
        <v>16.779661016949152</v>
      </c>
      <c r="G197" s="17">
        <f t="shared" si="21"/>
        <v>827.76957304799998</v>
      </c>
      <c r="H197" s="12"/>
      <c r="J197">
        <f>+J196*1.01</f>
        <v>0.11783024677333336</v>
      </c>
    </row>
    <row r="198" spans="1:17">
      <c r="A198" s="19"/>
      <c r="B198" s="56" t="s">
        <v>1516</v>
      </c>
      <c r="C198" s="62">
        <v>12.5</v>
      </c>
      <c r="D198" s="57" t="s">
        <v>43</v>
      </c>
      <c r="E198" s="61">
        <v>107.87</v>
      </c>
      <c r="F198" s="61"/>
      <c r="G198" s="17">
        <f t="shared" si="21"/>
        <v>1348.375</v>
      </c>
      <c r="H198" s="12"/>
    </row>
    <row r="199" spans="1:17">
      <c r="A199" s="19"/>
      <c r="B199" s="56" t="s">
        <v>1517</v>
      </c>
      <c r="C199" s="62">
        <v>12.5</v>
      </c>
      <c r="D199" s="57" t="s">
        <v>43</v>
      </c>
      <c r="E199" s="61">
        <v>346</v>
      </c>
      <c r="F199" s="61"/>
      <c r="G199" s="17">
        <f t="shared" si="21"/>
        <v>4325</v>
      </c>
      <c r="H199" s="12"/>
    </row>
    <row r="200" spans="1:17" ht="15.75" thickBot="1">
      <c r="A200" s="21"/>
      <c r="B200" s="22"/>
      <c r="C200" s="23"/>
      <c r="D200" s="24" t="s">
        <v>111</v>
      </c>
      <c r="E200" s="78"/>
      <c r="F200" s="79"/>
      <c r="G200" s="26">
        <f>SUM(G193:G199)</f>
        <v>28210.241549808001</v>
      </c>
      <c r="H200" s="27" t="s">
        <v>106</v>
      </c>
    </row>
    <row r="201" spans="1:17" ht="15.75" thickTop="1">
      <c r="B201" s="55"/>
    </row>
    <row r="202" spans="1:17">
      <c r="A202" s="64"/>
      <c r="B202" s="370" t="e">
        <f>#REF!</f>
        <v>#REF!</v>
      </c>
      <c r="C202" s="370"/>
      <c r="D202" s="370"/>
      <c r="E202" s="370"/>
      <c r="F202" s="370"/>
      <c r="G202" s="370"/>
      <c r="H202" s="370"/>
      <c r="J202">
        <f>0.4*0.2</f>
        <v>8.0000000000000016E-2</v>
      </c>
      <c r="K202">
        <f>1/J202</f>
        <v>12.499999999999998</v>
      </c>
      <c r="L202">
        <v>2</v>
      </c>
      <c r="M202">
        <v>3.2810000000000001</v>
      </c>
      <c r="N202">
        <v>1.51</v>
      </c>
      <c r="O202">
        <f>+K202*L202*M202*N202/100</f>
        <v>1.2385774999999999</v>
      </c>
      <c r="P202">
        <f>+O202*1.05</f>
        <v>1.3005063749999999</v>
      </c>
    </row>
    <row r="203" spans="1:17">
      <c r="A203" s="6"/>
      <c r="B203" s="7"/>
      <c r="C203" s="8" t="s">
        <v>98</v>
      </c>
      <c r="D203" s="9" t="s">
        <v>39</v>
      </c>
      <c r="E203" s="74" t="s">
        <v>99</v>
      </c>
      <c r="F203" s="75" t="s">
        <v>100</v>
      </c>
      <c r="G203" s="11" t="s">
        <v>101</v>
      </c>
      <c r="H203" s="12"/>
      <c r="J203">
        <f>1/J202</f>
        <v>12.499999999999998</v>
      </c>
      <c r="K203">
        <f>+K202</f>
        <v>12.499999999999998</v>
      </c>
      <c r="L203">
        <v>3</v>
      </c>
      <c r="M203">
        <v>3.2810000000000001</v>
      </c>
      <c r="N203">
        <v>0.66669999999999996</v>
      </c>
      <c r="O203">
        <f>+K203*L203*M203*N203/100</f>
        <v>0.82029101249999981</v>
      </c>
      <c r="P203">
        <f>+O203*1.05</f>
        <v>0.86130556312499984</v>
      </c>
    </row>
    <row r="204" spans="1:17">
      <c r="A204" s="19"/>
      <c r="B204" s="56" t="s">
        <v>1511</v>
      </c>
      <c r="C204" s="62">
        <v>1.05</v>
      </c>
      <c r="D204" s="57" t="s">
        <v>1510</v>
      </c>
      <c r="E204" s="61">
        <f>Materiales!$D$105</f>
        <v>5677.9661016949149</v>
      </c>
      <c r="F204" s="61">
        <f>+E204*0.18</f>
        <v>1022.0338983050847</v>
      </c>
      <c r="G204" s="17">
        <f t="shared" ref="G204:G210" si="23">+C204*E204+C204*F204</f>
        <v>7035</v>
      </c>
      <c r="H204" s="12"/>
      <c r="J204">
        <f>+K203/0.2</f>
        <v>62.499999999999986</v>
      </c>
      <c r="K204">
        <v>63</v>
      </c>
      <c r="L204">
        <f>0.4*2+0.2*2</f>
        <v>1.2000000000000002</v>
      </c>
      <c r="M204">
        <v>3.2810000000000001</v>
      </c>
      <c r="N204">
        <v>0.378</v>
      </c>
      <c r="O204">
        <f>+K204*L204*M204*N204/100</f>
        <v>0.93760480800000012</v>
      </c>
      <c r="P204">
        <f>+O204*1.05</f>
        <v>0.98448504840000017</v>
      </c>
      <c r="Q204">
        <f>+P204*1.05</f>
        <v>1.0337093008200002</v>
      </c>
    </row>
    <row r="205" spans="1:17">
      <c r="A205" s="19"/>
      <c r="B205" s="56" t="s">
        <v>1690</v>
      </c>
      <c r="C205" s="62">
        <f>1.3+0.524</f>
        <v>1.8240000000000001</v>
      </c>
      <c r="D205" s="57" t="s">
        <v>1513</v>
      </c>
      <c r="E205" s="61">
        <f>Materiales!$D$38</f>
        <v>3305.0847457627119</v>
      </c>
      <c r="F205" s="61">
        <f t="shared" ref="F205:F208" si="24">+E205*0.18</f>
        <v>594.91525423728808</v>
      </c>
      <c r="G205" s="17">
        <f t="shared" si="23"/>
        <v>7113.6</v>
      </c>
      <c r="H205" s="12"/>
    </row>
    <row r="206" spans="1:17">
      <c r="A206" s="19"/>
      <c r="B206" s="56" t="s">
        <v>1645</v>
      </c>
      <c r="C206" s="62">
        <f>0.861305563125</f>
        <v>0.86130556312499995</v>
      </c>
      <c r="D206" s="57" t="s">
        <v>1513</v>
      </c>
      <c r="E206" s="61">
        <f>Materiales!$D$38</f>
        <v>3305.0847457627119</v>
      </c>
      <c r="F206" s="61">
        <f t="shared" si="24"/>
        <v>594.91525423728808</v>
      </c>
      <c r="G206" s="17">
        <f t="shared" si="23"/>
        <v>3359.0916961874996</v>
      </c>
      <c r="H206" s="18"/>
      <c r="L206">
        <f>1/K207</f>
        <v>12.499999999999998</v>
      </c>
      <c r="O206">
        <f>SUM(O202:O204)</f>
        <v>2.9964733204999998</v>
      </c>
      <c r="P206">
        <f>+O206*1.05</f>
        <v>3.1462969865249999</v>
      </c>
    </row>
    <row r="207" spans="1:17">
      <c r="A207" s="19"/>
      <c r="B207" s="56" t="s">
        <v>1646</v>
      </c>
      <c r="C207" s="62">
        <v>0.98</v>
      </c>
      <c r="D207" s="57" t="s">
        <v>1513</v>
      </c>
      <c r="E207" s="61">
        <f>Materiales!$D$38</f>
        <v>3305.0847457627119</v>
      </c>
      <c r="F207" s="61">
        <f t="shared" si="24"/>
        <v>594.91525423728808</v>
      </c>
      <c r="G207" s="17">
        <f t="shared" si="23"/>
        <v>3822</v>
      </c>
      <c r="H207" s="18"/>
      <c r="J207">
        <f>3*2.5*3.281*1.51/100</f>
        <v>0.37157325000000002</v>
      </c>
      <c r="K207">
        <f>0.2*0.4</f>
        <v>8.0000000000000016E-2</v>
      </c>
    </row>
    <row r="208" spans="1:17">
      <c r="A208" s="19"/>
      <c r="B208" s="56" t="s">
        <v>1514</v>
      </c>
      <c r="C208" s="62">
        <f>+(C205+C206+C207)*2</f>
        <v>7.33061112625</v>
      </c>
      <c r="D208" s="57" t="s">
        <v>1515</v>
      </c>
      <c r="E208" s="61">
        <f>Materiales!$D$50</f>
        <v>93.220338983050851</v>
      </c>
      <c r="F208" s="61">
        <f t="shared" si="24"/>
        <v>16.779661016949152</v>
      </c>
      <c r="G208" s="17">
        <f t="shared" si="23"/>
        <v>806.36722388750002</v>
      </c>
      <c r="H208" s="12"/>
      <c r="J208">
        <f>+J207/0.78</f>
        <v>0.47637596153846157</v>
      </c>
    </row>
    <row r="209" spans="1:17">
      <c r="A209" s="19"/>
      <c r="B209" s="56" t="s">
        <v>1516</v>
      </c>
      <c r="C209" s="62">
        <f>+C205+C207</f>
        <v>2.8040000000000003</v>
      </c>
      <c r="D209" s="57" t="s">
        <v>1513</v>
      </c>
      <c r="E209" s="61">
        <v>450</v>
      </c>
      <c r="F209" s="61"/>
      <c r="G209" s="17">
        <f t="shared" si="23"/>
        <v>1261.8000000000002</v>
      </c>
      <c r="H209" s="12"/>
      <c r="J209">
        <f>+J208*1.1</f>
        <v>0.52401355769230773</v>
      </c>
    </row>
    <row r="210" spans="1:17">
      <c r="A210" s="19"/>
      <c r="B210" s="56" t="s">
        <v>1517</v>
      </c>
      <c r="C210" s="62">
        <v>12.5</v>
      </c>
      <c r="D210" s="57" t="s">
        <v>43</v>
      </c>
      <c r="E210" s="61">
        <v>346</v>
      </c>
      <c r="F210" s="61"/>
      <c r="G210" s="17">
        <f t="shared" si="23"/>
        <v>4325</v>
      </c>
      <c r="H210" s="12"/>
    </row>
    <row r="211" spans="1:17" ht="15.75" thickBot="1">
      <c r="A211" s="21"/>
      <c r="B211" s="22"/>
      <c r="C211" s="23"/>
      <c r="D211" s="24" t="s">
        <v>111</v>
      </c>
      <c r="E211" s="78"/>
      <c r="F211" s="79"/>
      <c r="G211" s="26">
        <f>SUM(G204:G210)</f>
        <v>27722.858920074999</v>
      </c>
      <c r="H211" s="27" t="s">
        <v>106</v>
      </c>
    </row>
    <row r="212" spans="1:17" ht="15.75" thickTop="1">
      <c r="B212" s="55"/>
    </row>
    <row r="213" spans="1:17">
      <c r="A213" s="64"/>
      <c r="B213" s="370" t="e">
        <f>#REF!</f>
        <v>#REF!</v>
      </c>
      <c r="C213" s="370"/>
      <c r="D213" s="370"/>
      <c r="E213" s="370"/>
      <c r="F213" s="370"/>
      <c r="G213" s="370"/>
      <c r="H213" s="370"/>
      <c r="J213">
        <f>0.4*0.2</f>
        <v>8.0000000000000016E-2</v>
      </c>
      <c r="K213">
        <f>1/J213</f>
        <v>12.499999999999998</v>
      </c>
      <c r="L213">
        <v>2</v>
      </c>
      <c r="M213">
        <v>3.2810000000000001</v>
      </c>
      <c r="N213">
        <v>1.51</v>
      </c>
      <c r="O213">
        <f>+K213*L213*M213*N213/100</f>
        <v>1.2385774999999999</v>
      </c>
      <c r="P213">
        <f>+O213*1.05</f>
        <v>1.3005063749999999</v>
      </c>
    </row>
    <row r="214" spans="1:17">
      <c r="A214" s="6"/>
      <c r="B214" s="7"/>
      <c r="C214" s="8" t="s">
        <v>98</v>
      </c>
      <c r="D214" s="9" t="s">
        <v>39</v>
      </c>
      <c r="E214" s="74" t="s">
        <v>99</v>
      </c>
      <c r="F214" s="75" t="s">
        <v>100</v>
      </c>
      <c r="G214" s="11" t="s">
        <v>101</v>
      </c>
      <c r="H214" s="12"/>
      <c r="J214">
        <f>1/J213</f>
        <v>12.499999999999998</v>
      </c>
      <c r="K214">
        <f>+K213</f>
        <v>12.499999999999998</v>
      </c>
      <c r="L214">
        <v>3</v>
      </c>
      <c r="M214">
        <v>3.2810000000000001</v>
      </c>
      <c r="N214">
        <v>0.66669999999999996</v>
      </c>
      <c r="O214">
        <f>+K214*L214*M214*N214/100</f>
        <v>0.82029101249999981</v>
      </c>
      <c r="P214">
        <f>+O214*1.05</f>
        <v>0.86130556312499984</v>
      </c>
    </row>
    <row r="215" spans="1:17">
      <c r="A215" s="19"/>
      <c r="B215" s="56" t="s">
        <v>1511</v>
      </c>
      <c r="C215" s="62">
        <v>1.05</v>
      </c>
      <c r="D215" s="57" t="s">
        <v>1510</v>
      </c>
      <c r="E215" s="61">
        <f>Materiales!$D$105</f>
        <v>5677.9661016949149</v>
      </c>
      <c r="F215" s="61">
        <f>+E215*0.18</f>
        <v>1022.0338983050847</v>
      </c>
      <c r="G215" s="17">
        <f t="shared" ref="G215:G221" si="25">+C215*E215+C215*F215</f>
        <v>7035</v>
      </c>
      <c r="H215" s="12"/>
      <c r="J215">
        <f>+K214/0.2</f>
        <v>62.499999999999986</v>
      </c>
      <c r="K215">
        <v>63</v>
      </c>
      <c r="L215">
        <f>0.4*2+0.2*2</f>
        <v>1.2000000000000002</v>
      </c>
      <c r="M215">
        <v>3.2810000000000001</v>
      </c>
      <c r="N215">
        <v>0.378</v>
      </c>
      <c r="O215">
        <f>+K215*L215*M215*N215/100</f>
        <v>0.93760480800000012</v>
      </c>
      <c r="P215">
        <f>+O215*1.05</f>
        <v>0.98448504840000017</v>
      </c>
      <c r="Q215">
        <f>+P215*1.05</f>
        <v>1.0337093008200002</v>
      </c>
    </row>
    <row r="216" spans="1:17">
      <c r="A216" s="19"/>
      <c r="B216" s="56" t="s">
        <v>1690</v>
      </c>
      <c r="C216" s="62">
        <v>1.3005063749999999</v>
      </c>
      <c r="D216" s="57" t="s">
        <v>1513</v>
      </c>
      <c r="E216" s="61">
        <f>Materiales!$D$38</f>
        <v>3305.0847457627119</v>
      </c>
      <c r="F216" s="61">
        <f t="shared" ref="F216:F219" si="26">+E216*0.18</f>
        <v>594.91525423728808</v>
      </c>
      <c r="G216" s="17">
        <f t="shared" si="25"/>
        <v>5071.9748624999993</v>
      </c>
      <c r="H216" s="12"/>
    </row>
    <row r="217" spans="1:17">
      <c r="A217" s="19"/>
      <c r="B217" s="56" t="s">
        <v>1645</v>
      </c>
      <c r="C217" s="62">
        <f>0.861305563125+0.154</f>
        <v>1.0153055631249999</v>
      </c>
      <c r="D217" s="57" t="s">
        <v>1513</v>
      </c>
      <c r="E217" s="61">
        <f>Materiales!$D$38</f>
        <v>3305.0847457627119</v>
      </c>
      <c r="F217" s="61">
        <f t="shared" si="26"/>
        <v>594.91525423728808</v>
      </c>
      <c r="G217" s="17">
        <f t="shared" si="25"/>
        <v>3959.6916961874995</v>
      </c>
      <c r="H217" s="18"/>
      <c r="L217">
        <f>1/K218</f>
        <v>12.499999999999998</v>
      </c>
      <c r="O217">
        <f>SUM(O213:O215)</f>
        <v>2.9964733204999998</v>
      </c>
      <c r="P217">
        <f>+O217*1.05</f>
        <v>3.1462969865249999</v>
      </c>
    </row>
    <row r="218" spans="1:17">
      <c r="A218" s="19"/>
      <c r="B218" s="56" t="s">
        <v>1646</v>
      </c>
      <c r="C218" s="62">
        <v>0.98448504840000017</v>
      </c>
      <c r="D218" s="57" t="s">
        <v>1513</v>
      </c>
      <c r="E218" s="61">
        <f>Materiales!$D$38</f>
        <v>3305.0847457627119</v>
      </c>
      <c r="F218" s="61">
        <f t="shared" si="26"/>
        <v>594.91525423728808</v>
      </c>
      <c r="G218" s="17">
        <f t="shared" si="25"/>
        <v>3839.4916887600007</v>
      </c>
      <c r="H218" s="18"/>
      <c r="J218">
        <f>2*2.5*3.281*0.667/100</f>
        <v>0.10942135000000003</v>
      </c>
      <c r="K218">
        <f>0.2*0.4</f>
        <v>8.0000000000000016E-2</v>
      </c>
    </row>
    <row r="219" spans="1:17">
      <c r="A219" s="19"/>
      <c r="B219" s="56" t="s">
        <v>1514</v>
      </c>
      <c r="C219" s="62">
        <f>+(C216+C217+C218)*2</f>
        <v>6.6005939730500005</v>
      </c>
      <c r="D219" s="57" t="s">
        <v>1515</v>
      </c>
      <c r="E219" s="61">
        <f>Materiales!$D$50</f>
        <v>93.220338983050851</v>
      </c>
      <c r="F219" s="61">
        <f t="shared" si="26"/>
        <v>16.779661016949152</v>
      </c>
      <c r="G219" s="17">
        <f t="shared" si="25"/>
        <v>726.06533703550008</v>
      </c>
      <c r="H219" s="12"/>
      <c r="J219">
        <f>+J218/0.78</f>
        <v>0.14028378205128209</v>
      </c>
    </row>
    <row r="220" spans="1:17">
      <c r="A220" s="19"/>
      <c r="B220" s="56" t="s">
        <v>1516</v>
      </c>
      <c r="C220" s="62">
        <f>+C216+C218</f>
        <v>2.2849914234000002</v>
      </c>
      <c r="D220" s="57" t="s">
        <v>1513</v>
      </c>
      <c r="E220" s="61">
        <v>450</v>
      </c>
      <c r="F220" s="61"/>
      <c r="G220" s="17">
        <f t="shared" si="25"/>
        <v>1028.24614053</v>
      </c>
      <c r="H220" s="12"/>
      <c r="J220">
        <f>+J219*1.1</f>
        <v>0.15431216025641031</v>
      </c>
    </row>
    <row r="221" spans="1:17">
      <c r="A221" s="19"/>
      <c r="B221" s="56" t="s">
        <v>1517</v>
      </c>
      <c r="C221" s="62">
        <v>12.5</v>
      </c>
      <c r="D221" s="57" t="s">
        <v>43</v>
      </c>
      <c r="E221" s="61">
        <v>346</v>
      </c>
      <c r="F221" s="61"/>
      <c r="G221" s="17">
        <f t="shared" si="25"/>
        <v>4325</v>
      </c>
      <c r="H221" s="12"/>
    </row>
    <row r="222" spans="1:17" ht="15.75" thickBot="1">
      <c r="A222" s="21"/>
      <c r="B222" s="22"/>
      <c r="C222" s="23"/>
      <c r="D222" s="24" t="s">
        <v>111</v>
      </c>
      <c r="E222" s="78"/>
      <c r="F222" s="79"/>
      <c r="G222" s="26">
        <f>SUM(G215:G221)</f>
        <v>25985.469725012998</v>
      </c>
      <c r="H222" s="27" t="s">
        <v>106</v>
      </c>
    </row>
    <row r="223" spans="1:17" ht="15.75" thickTop="1">
      <c r="B223" s="55"/>
    </row>
    <row r="224" spans="1:17">
      <c r="A224" s="64"/>
      <c r="B224" s="370" t="e">
        <f>#REF!</f>
        <v>#REF!</v>
      </c>
      <c r="C224" s="370"/>
      <c r="D224" s="370"/>
      <c r="E224" s="370"/>
      <c r="F224" s="370"/>
      <c r="G224" s="370"/>
      <c r="H224" s="370"/>
      <c r="J224">
        <f>0.25*0.3</f>
        <v>7.4999999999999997E-2</v>
      </c>
      <c r="K224">
        <v>12.5</v>
      </c>
      <c r="L224">
        <v>2</v>
      </c>
      <c r="M224">
        <v>3.2810000000000001</v>
      </c>
      <c r="N224">
        <v>1.51</v>
      </c>
      <c r="O224">
        <f>+K224*L224*M224*N224/100</f>
        <v>1.2385775000000001</v>
      </c>
      <c r="P224">
        <f>+O224*1.05</f>
        <v>1.3005063750000001</v>
      </c>
    </row>
    <row r="225" spans="1:17">
      <c r="A225" s="6"/>
      <c r="B225" s="7"/>
      <c r="C225" s="8" t="s">
        <v>98</v>
      </c>
      <c r="D225" s="9" t="s">
        <v>39</v>
      </c>
      <c r="E225" s="74" t="s">
        <v>99</v>
      </c>
      <c r="F225" s="75" t="s">
        <v>100</v>
      </c>
      <c r="G225" s="11" t="s">
        <v>101</v>
      </c>
      <c r="H225" s="12"/>
      <c r="J225">
        <f>1/J224</f>
        <v>13.333333333333334</v>
      </c>
      <c r="K225">
        <v>12.5</v>
      </c>
      <c r="L225">
        <v>3</v>
      </c>
      <c r="M225">
        <v>3.2810000000000001</v>
      </c>
      <c r="N225">
        <v>0.66669999999999996</v>
      </c>
      <c r="O225">
        <f>+K225*L225*M225*N225/100</f>
        <v>0.82029101249999992</v>
      </c>
      <c r="P225">
        <f>+O225*1.05</f>
        <v>0.86130556312499995</v>
      </c>
    </row>
    <row r="226" spans="1:17">
      <c r="A226" s="19"/>
      <c r="B226" s="56" t="s">
        <v>1511</v>
      </c>
      <c r="C226" s="62">
        <v>1.05</v>
      </c>
      <c r="D226" s="57" t="s">
        <v>1510</v>
      </c>
      <c r="E226" s="61">
        <f>Materiales!$D$105</f>
        <v>5677.9661016949149</v>
      </c>
      <c r="F226" s="61">
        <f>+E226*0.18</f>
        <v>1022.0338983050847</v>
      </c>
      <c r="G226" s="17">
        <f t="shared" ref="G226:G232" si="27">+C226*E226+C226*F226</f>
        <v>7035</v>
      </c>
      <c r="H226" s="12"/>
      <c r="J226">
        <f>+K225/0.2</f>
        <v>62.5</v>
      </c>
      <c r="K226">
        <v>63</v>
      </c>
      <c r="L226">
        <f>0.25*2+0.3*2</f>
        <v>1.1000000000000001</v>
      </c>
      <c r="M226">
        <v>3.2810000000000001</v>
      </c>
      <c r="N226">
        <v>0.378</v>
      </c>
      <c r="O226">
        <f>+K226*L226*M226*N226/100</f>
        <v>0.85947107400000022</v>
      </c>
      <c r="P226">
        <f>+O226*1.05</f>
        <v>0.90244462770000022</v>
      </c>
      <c r="Q226">
        <f>+P226*1.05</f>
        <v>0.94756685908500027</v>
      </c>
    </row>
    <row r="227" spans="1:17">
      <c r="A227" s="19"/>
      <c r="B227" s="56" t="s">
        <v>1690</v>
      </c>
      <c r="C227" s="62">
        <v>1.3005063750000001</v>
      </c>
      <c r="D227" s="57" t="s">
        <v>1513</v>
      </c>
      <c r="E227" s="61">
        <f>Materiales!$D$38</f>
        <v>3305.0847457627119</v>
      </c>
      <c r="F227" s="61">
        <f t="shared" ref="F227:F230" si="28">+E227*0.18</f>
        <v>594.91525423728808</v>
      </c>
      <c r="G227" s="17">
        <f t="shared" si="27"/>
        <v>5071.9748625000011</v>
      </c>
      <c r="H227" s="12"/>
    </row>
    <row r="228" spans="1:17">
      <c r="A228" s="19"/>
      <c r="B228" s="56" t="s">
        <v>1645</v>
      </c>
      <c r="C228" s="62">
        <f>0.86+0.11</f>
        <v>0.97</v>
      </c>
      <c r="D228" s="57" t="s">
        <v>1513</v>
      </c>
      <c r="E228" s="61">
        <f>Materiales!$D$38</f>
        <v>3305.0847457627119</v>
      </c>
      <c r="F228" s="61">
        <f t="shared" si="28"/>
        <v>594.91525423728808</v>
      </c>
      <c r="G228" s="17">
        <f t="shared" si="27"/>
        <v>3783</v>
      </c>
      <c r="H228" s="18"/>
      <c r="L228">
        <f>1/K229</f>
        <v>12.499999999999998</v>
      </c>
      <c r="O228">
        <f>SUM(O224:O226)</f>
        <v>2.9183395865000001</v>
      </c>
      <c r="P228">
        <f>+O228*1.05</f>
        <v>3.0642565658250001</v>
      </c>
    </row>
    <row r="229" spans="1:17">
      <c r="A229" s="19"/>
      <c r="B229" s="56" t="s">
        <v>1646</v>
      </c>
      <c r="C229" s="62">
        <v>0.90244462770000022</v>
      </c>
      <c r="D229" s="57" t="s">
        <v>1513</v>
      </c>
      <c r="E229" s="61">
        <f>Materiales!$D$38</f>
        <v>3305.0847457627119</v>
      </c>
      <c r="F229" s="61">
        <f t="shared" si="28"/>
        <v>594.91525423728808</v>
      </c>
      <c r="G229" s="17">
        <f t="shared" si="27"/>
        <v>3519.534048030001</v>
      </c>
      <c r="H229" s="18"/>
      <c r="J229">
        <f>2*2.5*3.281*0.6667/100</f>
        <v>0.10937213500000001</v>
      </c>
      <c r="K229">
        <f>0.2*0.4</f>
        <v>8.0000000000000016E-2</v>
      </c>
    </row>
    <row r="230" spans="1:17">
      <c r="A230" s="19"/>
      <c r="B230" s="56" t="s">
        <v>1514</v>
      </c>
      <c r="C230" s="62">
        <f>+(C227+C228+C229)*2</f>
        <v>6.345902005400001</v>
      </c>
      <c r="D230" s="57" t="s">
        <v>1515</v>
      </c>
      <c r="E230" s="61">
        <f>Materiales!$D$50</f>
        <v>93.220338983050851</v>
      </c>
      <c r="F230" s="61">
        <f t="shared" si="28"/>
        <v>16.779661016949152</v>
      </c>
      <c r="G230" s="17">
        <f t="shared" si="27"/>
        <v>698.04922059400019</v>
      </c>
      <c r="H230" s="12"/>
      <c r="J230">
        <f>+J229/1.1</f>
        <v>9.9429213636363631E-2</v>
      </c>
    </row>
    <row r="231" spans="1:17">
      <c r="A231" s="19"/>
      <c r="B231" s="56" t="s">
        <v>1516</v>
      </c>
      <c r="C231" s="62">
        <v>12.5</v>
      </c>
      <c r="D231" s="57" t="s">
        <v>43</v>
      </c>
      <c r="E231" s="61">
        <v>107.87</v>
      </c>
      <c r="F231" s="61"/>
      <c r="G231" s="17">
        <f t="shared" si="27"/>
        <v>1348.375</v>
      </c>
      <c r="H231" s="12"/>
      <c r="J231">
        <f>+J230*1.1</f>
        <v>0.10937213500000001</v>
      </c>
    </row>
    <row r="232" spans="1:17">
      <c r="A232" s="19"/>
      <c r="B232" s="56" t="s">
        <v>1517</v>
      </c>
      <c r="C232" s="62">
        <v>12.5</v>
      </c>
      <c r="D232" s="57" t="s">
        <v>43</v>
      </c>
      <c r="E232" s="61">
        <v>346</v>
      </c>
      <c r="F232" s="61"/>
      <c r="G232" s="17">
        <f t="shared" si="27"/>
        <v>4325</v>
      </c>
      <c r="H232" s="12"/>
    </row>
    <row r="233" spans="1:17" ht="15.75" thickBot="1">
      <c r="A233" s="21"/>
      <c r="B233" s="22"/>
      <c r="C233" s="23"/>
      <c r="D233" s="24" t="s">
        <v>111</v>
      </c>
      <c r="E233" s="78"/>
      <c r="F233" s="79"/>
      <c r="G233" s="26">
        <f>SUM(G226:G232)</f>
        <v>25780.933131124002</v>
      </c>
      <c r="H233" s="27" t="s">
        <v>106</v>
      </c>
    </row>
    <row r="234" spans="1:17" ht="15.75" thickTop="1">
      <c r="B234" s="55"/>
    </row>
    <row r="235" spans="1:17">
      <c r="A235" s="64"/>
      <c r="B235" s="370" t="e">
        <f>#REF!</f>
        <v>#REF!</v>
      </c>
      <c r="C235" s="370"/>
      <c r="D235" s="370"/>
      <c r="E235" s="370"/>
      <c r="F235" s="370"/>
      <c r="G235" s="370"/>
      <c r="H235" s="370"/>
      <c r="J235">
        <f>0.25*0.3</f>
        <v>7.4999999999999997E-2</v>
      </c>
      <c r="K235">
        <v>12.5</v>
      </c>
      <c r="L235">
        <v>2</v>
      </c>
      <c r="M235">
        <v>3.2810000000000001</v>
      </c>
      <c r="N235">
        <v>1.51</v>
      </c>
      <c r="O235">
        <f>+K235*L235*M235*N235/100</f>
        <v>1.2385775000000001</v>
      </c>
      <c r="P235">
        <f>+O235*1.05</f>
        <v>1.3005063750000001</v>
      </c>
    </row>
    <row r="236" spans="1:17">
      <c r="A236" s="6"/>
      <c r="B236" s="7"/>
      <c r="C236" s="8" t="s">
        <v>98</v>
      </c>
      <c r="D236" s="9" t="s">
        <v>39</v>
      </c>
      <c r="E236" s="74" t="s">
        <v>99</v>
      </c>
      <c r="F236" s="75" t="s">
        <v>100</v>
      </c>
      <c r="G236" s="11" t="s">
        <v>101</v>
      </c>
      <c r="H236" s="12"/>
      <c r="J236">
        <f>1/J235</f>
        <v>13.333333333333334</v>
      </c>
      <c r="K236">
        <v>12.5</v>
      </c>
      <c r="L236">
        <v>3</v>
      </c>
      <c r="M236">
        <v>3.2810000000000001</v>
      </c>
      <c r="N236">
        <v>0.66669999999999996</v>
      </c>
      <c r="O236">
        <f>+K236*L236*M236*N236/100</f>
        <v>0.82029101249999992</v>
      </c>
      <c r="P236">
        <f>+O236*1.05</f>
        <v>0.86130556312499995</v>
      </c>
    </row>
    <row r="237" spans="1:17">
      <c r="A237" s="19"/>
      <c r="B237" s="56" t="s">
        <v>1511</v>
      </c>
      <c r="C237" s="62">
        <v>1.05</v>
      </c>
      <c r="D237" s="57" t="s">
        <v>1510</v>
      </c>
      <c r="E237" s="61">
        <f>Materiales!$D$105</f>
        <v>5677.9661016949149</v>
      </c>
      <c r="F237" s="61">
        <f>+E237*0.18</f>
        <v>1022.0338983050847</v>
      </c>
      <c r="G237" s="17">
        <f t="shared" ref="G237:G243" si="29">+C237*E237+C237*F237</f>
        <v>7035</v>
      </c>
      <c r="H237" s="12"/>
      <c r="J237">
        <f>+K236/0.2</f>
        <v>62.5</v>
      </c>
      <c r="K237">
        <v>63</v>
      </c>
      <c r="L237">
        <f>0.25*2+0.3*2</f>
        <v>1.1000000000000001</v>
      </c>
      <c r="M237">
        <v>3.2810000000000001</v>
      </c>
      <c r="N237">
        <v>0.378</v>
      </c>
      <c r="O237">
        <f>+K237*L237*M237*N237/100</f>
        <v>0.85947107400000022</v>
      </c>
      <c r="P237">
        <f>+O237*1.05</f>
        <v>0.90244462770000022</v>
      </c>
      <c r="Q237">
        <f>+P237*1.05</f>
        <v>0.94756685908500027</v>
      </c>
    </row>
    <row r="238" spans="1:17">
      <c r="A238" s="19"/>
      <c r="B238" s="56" t="s">
        <v>1690</v>
      </c>
      <c r="C238" s="62">
        <v>1.3005063750000001</v>
      </c>
      <c r="D238" s="57" t="s">
        <v>1513</v>
      </c>
      <c r="E238" s="61">
        <f>Materiales!$D$38</f>
        <v>3305.0847457627119</v>
      </c>
      <c r="F238" s="61">
        <f t="shared" ref="F238:F241" si="30">+E238*0.18</f>
        <v>594.91525423728808</v>
      </c>
      <c r="G238" s="17">
        <f t="shared" si="29"/>
        <v>5071.9748625000011</v>
      </c>
      <c r="H238" s="12"/>
    </row>
    <row r="239" spans="1:17">
      <c r="A239" s="19"/>
      <c r="B239" s="56" t="s">
        <v>1645</v>
      </c>
      <c r="C239" s="62">
        <f>0.86+0.101</f>
        <v>0.96099999999999997</v>
      </c>
      <c r="D239" s="57" t="s">
        <v>1513</v>
      </c>
      <c r="E239" s="61">
        <f>Materiales!$D$38</f>
        <v>3305.0847457627119</v>
      </c>
      <c r="F239" s="61">
        <f t="shared" si="30"/>
        <v>594.91525423728808</v>
      </c>
      <c r="G239" s="17">
        <f t="shared" si="29"/>
        <v>3747.8999999999996</v>
      </c>
      <c r="H239" s="18"/>
      <c r="L239">
        <f>1/K240</f>
        <v>12.499999999999998</v>
      </c>
      <c r="O239">
        <f>SUM(O235:O237)</f>
        <v>2.9183395865000001</v>
      </c>
      <c r="P239">
        <f>+O239*1.05</f>
        <v>3.0642565658250001</v>
      </c>
    </row>
    <row r="240" spans="1:17">
      <c r="A240" s="19"/>
      <c r="B240" s="56" t="s">
        <v>1646</v>
      </c>
      <c r="C240" s="62">
        <v>0.90244462770000022</v>
      </c>
      <c r="D240" s="57" t="s">
        <v>1513</v>
      </c>
      <c r="E240" s="61">
        <f>Materiales!$D$38</f>
        <v>3305.0847457627119</v>
      </c>
      <c r="F240" s="61">
        <f t="shared" si="30"/>
        <v>594.91525423728808</v>
      </c>
      <c r="G240" s="17">
        <f t="shared" si="29"/>
        <v>3519.534048030001</v>
      </c>
      <c r="H240" s="18"/>
      <c r="J240">
        <f>2*2.5*3.281*0.6667/100</f>
        <v>0.10937213500000001</v>
      </c>
      <c r="K240">
        <f>0.2*0.4</f>
        <v>8.0000000000000016E-2</v>
      </c>
    </row>
    <row r="241" spans="1:17">
      <c r="A241" s="19"/>
      <c r="B241" s="56" t="s">
        <v>1514</v>
      </c>
      <c r="C241" s="62">
        <f>+(C238+C239+C240)*2</f>
        <v>6.3279020054000004</v>
      </c>
      <c r="D241" s="57" t="s">
        <v>1515</v>
      </c>
      <c r="E241" s="61">
        <f>Materiales!$D$50</f>
        <v>93.220338983050851</v>
      </c>
      <c r="F241" s="61">
        <f t="shared" si="30"/>
        <v>16.779661016949152</v>
      </c>
      <c r="G241" s="17">
        <f t="shared" si="29"/>
        <v>696.06922059400006</v>
      </c>
      <c r="H241" s="12"/>
      <c r="J241">
        <f>+J240/1.18</f>
        <v>9.2688250000000014E-2</v>
      </c>
    </row>
    <row r="242" spans="1:17">
      <c r="A242" s="19"/>
      <c r="B242" s="56" t="s">
        <v>1516</v>
      </c>
      <c r="C242" s="62">
        <v>12.5</v>
      </c>
      <c r="D242" s="57" t="s">
        <v>43</v>
      </c>
      <c r="E242" s="61">
        <v>107.87</v>
      </c>
      <c r="F242" s="61"/>
      <c r="G242" s="17">
        <f t="shared" si="29"/>
        <v>1348.375</v>
      </c>
      <c r="H242" s="12"/>
      <c r="J242">
        <f>+J241*1.1</f>
        <v>0.10195707500000002</v>
      </c>
    </row>
    <row r="243" spans="1:17">
      <c r="A243" s="19"/>
      <c r="B243" s="56" t="s">
        <v>1517</v>
      </c>
      <c r="C243" s="62">
        <v>12.5</v>
      </c>
      <c r="D243" s="57" t="s">
        <v>43</v>
      </c>
      <c r="E243" s="61">
        <v>346</v>
      </c>
      <c r="F243" s="61"/>
      <c r="G243" s="17">
        <f t="shared" si="29"/>
        <v>4325</v>
      </c>
      <c r="H243" s="12"/>
    </row>
    <row r="244" spans="1:17" ht="15.75" thickBot="1">
      <c r="A244" s="21"/>
      <c r="B244" s="22"/>
      <c r="C244" s="23"/>
      <c r="D244" s="24" t="s">
        <v>111</v>
      </c>
      <c r="E244" s="78"/>
      <c r="F244" s="79"/>
      <c r="G244" s="26">
        <f>SUM(G237:G243)</f>
        <v>25743.853131124</v>
      </c>
      <c r="H244" s="27" t="s">
        <v>106</v>
      </c>
    </row>
    <row r="245" spans="1:17" ht="15.75" thickTop="1">
      <c r="B245" s="55"/>
      <c r="K245">
        <f>0.75*0.75*0.25</f>
        <v>0.140625</v>
      </c>
    </row>
    <row r="246" spans="1:17">
      <c r="A246" s="64"/>
      <c r="B246" s="370" t="e">
        <f>#REF!</f>
        <v>#REF!</v>
      </c>
      <c r="C246" s="370"/>
      <c r="D246" s="370"/>
      <c r="E246" s="370"/>
      <c r="F246" s="370"/>
      <c r="G246" s="370"/>
      <c r="H246" s="370"/>
      <c r="J246">
        <f>0.2*0.2</f>
        <v>4.0000000000000008E-2</v>
      </c>
      <c r="K246">
        <v>26.666666666666668</v>
      </c>
    </row>
    <row r="247" spans="1:17">
      <c r="A247" s="6"/>
      <c r="B247" s="7"/>
      <c r="C247" s="8" t="s">
        <v>98</v>
      </c>
      <c r="D247" s="9" t="s">
        <v>39</v>
      </c>
      <c r="E247" s="74" t="s">
        <v>99</v>
      </c>
      <c r="F247" s="75" t="s">
        <v>100</v>
      </c>
      <c r="G247" s="11" t="s">
        <v>101</v>
      </c>
      <c r="H247" s="12"/>
      <c r="J247">
        <f>1/J246</f>
        <v>24.999999999999996</v>
      </c>
      <c r="K247">
        <v>25</v>
      </c>
      <c r="L247">
        <v>4</v>
      </c>
      <c r="M247">
        <v>3.2810000000000001</v>
      </c>
      <c r="N247">
        <v>0.378</v>
      </c>
      <c r="O247">
        <f>+K247*L247*M247*N247/100</f>
        <v>1.240218</v>
      </c>
      <c r="P247">
        <f>+O247*1.05</f>
        <v>1.3022289</v>
      </c>
    </row>
    <row r="248" spans="1:17">
      <c r="A248" s="19"/>
      <c r="B248" s="56" t="s">
        <v>1511</v>
      </c>
      <c r="C248" s="62">
        <v>1.05</v>
      </c>
      <c r="D248" s="57" t="s">
        <v>1510</v>
      </c>
      <c r="E248" s="61">
        <f>Materiales!$D$105</f>
        <v>5677.9661016949149</v>
      </c>
      <c r="F248" s="61">
        <f>+E248*0.18</f>
        <v>1022.0338983050847</v>
      </c>
      <c r="G248" s="17">
        <f t="shared" ref="G248:G253" si="31">+C248*E248+C248*F248</f>
        <v>7035</v>
      </c>
      <c r="H248" s="12"/>
      <c r="J248">
        <f>+K247/0.25</f>
        <v>100</v>
      </c>
      <c r="K248">
        <v>100</v>
      </c>
      <c r="L248">
        <f>0.2*2+0.2*2</f>
        <v>0.8</v>
      </c>
      <c r="M248">
        <v>3.2810000000000001</v>
      </c>
      <c r="N248">
        <v>0.378</v>
      </c>
      <c r="O248">
        <f>+K248*L248*M248*N248/100</f>
        <v>0.99217440000000012</v>
      </c>
      <c r="P248">
        <f>+O248*1.05</f>
        <v>1.0417831200000001</v>
      </c>
      <c r="Q248">
        <f>+P248/J246</f>
        <v>26.044577999999998</v>
      </c>
    </row>
    <row r="249" spans="1:17">
      <c r="A249" s="19"/>
      <c r="B249" s="56" t="s">
        <v>1645</v>
      </c>
      <c r="C249" s="62"/>
      <c r="D249" s="57" t="s">
        <v>1513</v>
      </c>
      <c r="E249" s="61">
        <f>Materiales!$D$38</f>
        <v>3305.0847457627119</v>
      </c>
      <c r="F249" s="61">
        <f t="shared" ref="F249" si="32">+E249*0.18</f>
        <v>594.91525423728808</v>
      </c>
      <c r="G249" s="17">
        <f t="shared" si="31"/>
        <v>0</v>
      </c>
      <c r="H249" s="12"/>
    </row>
    <row r="250" spans="1:17">
      <c r="A250" s="19"/>
      <c r="B250" s="56" t="s">
        <v>1646</v>
      </c>
      <c r="C250" s="62">
        <v>2.3440120200000001</v>
      </c>
      <c r="D250" s="57" t="s">
        <v>1513</v>
      </c>
      <c r="E250" s="61">
        <f>Materiales!$D$38</f>
        <v>3305.0847457627119</v>
      </c>
      <c r="F250" s="61">
        <f t="shared" ref="F250:F251" si="33">+E250*0.18</f>
        <v>594.91525423728808</v>
      </c>
      <c r="G250" s="17">
        <f t="shared" si="31"/>
        <v>9141.6468780000014</v>
      </c>
      <c r="H250" s="18"/>
      <c r="O250">
        <f>SUM(O247:O248)</f>
        <v>2.2323924000000002</v>
      </c>
      <c r="P250">
        <f>+O250*1.05</f>
        <v>2.3440120200000001</v>
      </c>
    </row>
    <row r="251" spans="1:17">
      <c r="A251" s="19"/>
      <c r="B251" s="56" t="s">
        <v>1514</v>
      </c>
      <c r="C251" s="62">
        <f>+C250*2</f>
        <v>4.6880240400000002</v>
      </c>
      <c r="D251" s="57" t="s">
        <v>1515</v>
      </c>
      <c r="E251" s="61">
        <f>Materiales!$D$50</f>
        <v>93.220338983050851</v>
      </c>
      <c r="F251" s="61">
        <f t="shared" si="33"/>
        <v>16.779661016949152</v>
      </c>
      <c r="G251" s="17">
        <f t="shared" si="31"/>
        <v>515.68264440000007</v>
      </c>
      <c r="H251" s="12"/>
    </row>
    <row r="252" spans="1:17">
      <c r="A252" s="19"/>
      <c r="B252" s="56" t="s">
        <v>1516</v>
      </c>
      <c r="C252" s="62">
        <v>25</v>
      </c>
      <c r="D252" s="57" t="s">
        <v>43</v>
      </c>
      <c r="E252" s="61">
        <v>107.87</v>
      </c>
      <c r="F252" s="61"/>
      <c r="G252" s="17">
        <f t="shared" si="31"/>
        <v>2696.75</v>
      </c>
      <c r="H252" s="12"/>
    </row>
    <row r="253" spans="1:17">
      <c r="A253" s="19"/>
      <c r="B253" s="56" t="s">
        <v>1517</v>
      </c>
      <c r="C253" s="62">
        <v>25</v>
      </c>
      <c r="D253" s="57" t="s">
        <v>43</v>
      </c>
      <c r="E253" s="61">
        <v>210</v>
      </c>
      <c r="F253" s="61"/>
      <c r="G253" s="17">
        <f t="shared" si="31"/>
        <v>5250</v>
      </c>
      <c r="H253" s="12"/>
    </row>
    <row r="254" spans="1:17" ht="15.75" thickBot="1">
      <c r="A254" s="21"/>
      <c r="B254" s="22"/>
      <c r="C254" s="23"/>
      <c r="D254" s="24" t="s">
        <v>111</v>
      </c>
      <c r="E254" s="78"/>
      <c r="F254" s="79"/>
      <c r="G254" s="26">
        <f>SUM(G248:G253)</f>
        <v>24639.079522400003</v>
      </c>
      <c r="H254" s="27" t="s">
        <v>106</v>
      </c>
    </row>
    <row r="255" spans="1:17" ht="15.75" thickTop="1">
      <c r="B255" s="55"/>
      <c r="K255">
        <f>0.75*0.75*0.25</f>
        <v>0.140625</v>
      </c>
    </row>
    <row r="256" spans="1:17">
      <c r="A256" s="64"/>
      <c r="B256" s="370" t="e">
        <f>#REF!</f>
        <v>#REF!</v>
      </c>
      <c r="C256" s="370"/>
      <c r="D256" s="370"/>
      <c r="E256" s="370"/>
      <c r="F256" s="370"/>
      <c r="G256" s="370"/>
      <c r="H256" s="370"/>
      <c r="J256">
        <f>0.15*0.2</f>
        <v>0.03</v>
      </c>
      <c r="K256">
        <v>26.666666666666668</v>
      </c>
    </row>
    <row r="257" spans="1:17">
      <c r="A257" s="6"/>
      <c r="B257" s="7"/>
      <c r="C257" s="8" t="s">
        <v>98</v>
      </c>
      <c r="D257" s="9" t="s">
        <v>39</v>
      </c>
      <c r="E257" s="74" t="s">
        <v>99</v>
      </c>
      <c r="F257" s="75" t="s">
        <v>100</v>
      </c>
      <c r="G257" s="11" t="s">
        <v>101</v>
      </c>
      <c r="H257" s="12"/>
      <c r="J257">
        <f>1/J256</f>
        <v>33.333333333333336</v>
      </c>
      <c r="K257">
        <v>33.333329999999997</v>
      </c>
      <c r="L257">
        <v>4</v>
      </c>
      <c r="M257">
        <v>3.2810000000000001</v>
      </c>
      <c r="N257">
        <v>0.378</v>
      </c>
      <c r="O257">
        <f>+K257*L257*M257*N257/100</f>
        <v>1.6536238346375998</v>
      </c>
    </row>
    <row r="258" spans="1:17">
      <c r="A258" s="19"/>
      <c r="B258" s="56" t="s">
        <v>1511</v>
      </c>
      <c r="C258" s="62">
        <v>1.05</v>
      </c>
      <c r="D258" s="57" t="s">
        <v>1510</v>
      </c>
      <c r="E258" s="61">
        <f>Materiales!$D$105</f>
        <v>5677.9661016949149</v>
      </c>
      <c r="F258" s="61">
        <f>+E258*0.18</f>
        <v>1022.0338983050847</v>
      </c>
      <c r="G258" s="17">
        <f>+C258*E258+C258*F258</f>
        <v>7035</v>
      </c>
      <c r="H258" s="12"/>
      <c r="J258">
        <f>+K257/0.25</f>
        <v>133.33331999999999</v>
      </c>
      <c r="K258">
        <v>133</v>
      </c>
      <c r="L258">
        <f>0.15*2+0.2*2</f>
        <v>0.7</v>
      </c>
      <c r="M258">
        <v>3.2810000000000001</v>
      </c>
      <c r="N258">
        <v>0.378</v>
      </c>
      <c r="O258">
        <f>+K258*L258*M258*N258/100</f>
        <v>1.1546429579999999</v>
      </c>
      <c r="P258">
        <f>+O258*1.05</f>
        <v>1.2123751059000001</v>
      </c>
      <c r="Q258">
        <f>+P258/J256</f>
        <v>40.412503530000002</v>
      </c>
    </row>
    <row r="259" spans="1:17">
      <c r="A259" s="19"/>
      <c r="B259" s="56" t="s">
        <v>1646</v>
      </c>
      <c r="C259" s="62">
        <v>2.95</v>
      </c>
      <c r="D259" s="57" t="s">
        <v>1513</v>
      </c>
      <c r="E259" s="61">
        <f>Materiales!$D$38</f>
        <v>3305.0847457627119</v>
      </c>
      <c r="F259" s="61">
        <f t="shared" ref="F259:F260" si="34">+E259*0.18</f>
        <v>594.91525423728808</v>
      </c>
      <c r="G259" s="17">
        <f>+C259*E259+C259*F259</f>
        <v>11505</v>
      </c>
      <c r="H259" s="18"/>
      <c r="O259">
        <f>SUM(O257:O258)</f>
        <v>2.8082667926375997</v>
      </c>
      <c r="P259">
        <f>+O259*1.05</f>
        <v>2.9486801322694798</v>
      </c>
    </row>
    <row r="260" spans="1:17">
      <c r="A260" s="19"/>
      <c r="B260" s="56" t="s">
        <v>1514</v>
      </c>
      <c r="C260" s="62">
        <f>+C259*2</f>
        <v>5.9</v>
      </c>
      <c r="D260" s="57" t="s">
        <v>1515</v>
      </c>
      <c r="E260" s="61">
        <f>Materiales!$D$50</f>
        <v>93.220338983050851</v>
      </c>
      <c r="F260" s="61">
        <f t="shared" si="34"/>
        <v>16.779661016949152</v>
      </c>
      <c r="G260" s="17">
        <f>+C260*E260+C260*F260</f>
        <v>649</v>
      </c>
      <c r="H260" s="12"/>
    </row>
    <row r="261" spans="1:17">
      <c r="A261" s="19"/>
      <c r="B261" s="56" t="s">
        <v>1516</v>
      </c>
      <c r="C261" s="62">
        <v>33.332999999999998</v>
      </c>
      <c r="D261" s="57" t="s">
        <v>43</v>
      </c>
      <c r="E261" s="61">
        <v>107.87</v>
      </c>
      <c r="F261" s="61"/>
      <c r="G261" s="17">
        <f>+C261*E261+C261*F261</f>
        <v>3595.6307099999999</v>
      </c>
      <c r="H261" s="12"/>
    </row>
    <row r="262" spans="1:17">
      <c r="A262" s="19"/>
      <c r="B262" s="56" t="s">
        <v>1517</v>
      </c>
      <c r="C262" s="62">
        <v>33.332999999999998</v>
      </c>
      <c r="D262" s="57" t="s">
        <v>43</v>
      </c>
      <c r="E262" s="61">
        <v>210</v>
      </c>
      <c r="F262" s="61"/>
      <c r="G262" s="17">
        <f>+C262*E262+C262*F262</f>
        <v>6999.9299999999994</v>
      </c>
      <c r="H262" s="12"/>
    </row>
    <row r="263" spans="1:17" ht="15.75" thickBot="1">
      <c r="A263" s="21"/>
      <c r="B263" s="22"/>
      <c r="C263" s="23"/>
      <c r="D263" s="24" t="s">
        <v>111</v>
      </c>
      <c r="E263" s="78"/>
      <c r="F263" s="79"/>
      <c r="G263" s="26">
        <f>SUM(G258:G262)</f>
        <v>29784.560710000002</v>
      </c>
      <c r="H263" s="27" t="s">
        <v>106</v>
      </c>
    </row>
    <row r="264" spans="1:17" ht="15.75" thickTop="1">
      <c r="B264" s="55"/>
    </row>
    <row r="265" spans="1:17">
      <c r="A265" s="64"/>
      <c r="B265" s="370" t="e">
        <f>#REF!</f>
        <v>#REF!</v>
      </c>
      <c r="C265" s="370"/>
      <c r="D265" s="370"/>
      <c r="E265" s="370"/>
      <c r="F265" s="370"/>
      <c r="G265" s="370"/>
      <c r="H265" s="370"/>
      <c r="J265">
        <f>0.4*0.12</f>
        <v>4.8000000000000001E-2</v>
      </c>
      <c r="K265">
        <v>20.83333</v>
      </c>
      <c r="L265">
        <v>5</v>
      </c>
      <c r="M265">
        <v>3.2810000000000001</v>
      </c>
      <c r="N265">
        <v>0.66700000000000004</v>
      </c>
      <c r="O265">
        <f t="shared" ref="O265:O266" si="35">+K265*L265*M265*N265/100</f>
        <v>2.2796110935955003</v>
      </c>
      <c r="P265">
        <f>+O265*1.05</f>
        <v>2.3935916482752755</v>
      </c>
    </row>
    <row r="266" spans="1:17">
      <c r="A266" s="6"/>
      <c r="B266" s="7"/>
      <c r="C266" s="8" t="s">
        <v>98</v>
      </c>
      <c r="D266" s="9" t="s">
        <v>39</v>
      </c>
      <c r="E266" s="74" t="s">
        <v>99</v>
      </c>
      <c r="F266" s="75" t="s">
        <v>100</v>
      </c>
      <c r="G266" s="11" t="s">
        <v>101</v>
      </c>
      <c r="H266" s="12"/>
      <c r="J266">
        <f>1/J265</f>
        <v>20.833333333333332</v>
      </c>
      <c r="K266">
        <v>20.83333</v>
      </c>
      <c r="M266">
        <v>3.2810000000000001</v>
      </c>
      <c r="N266">
        <v>0.378</v>
      </c>
      <c r="O266">
        <f t="shared" si="35"/>
        <v>0</v>
      </c>
    </row>
    <row r="267" spans="1:17">
      <c r="A267" s="19"/>
      <c r="B267" s="56" t="s">
        <v>1511</v>
      </c>
      <c r="C267" s="62">
        <f>0.12*0.4*1.05</f>
        <v>5.04E-2</v>
      </c>
      <c r="D267" s="57" t="s">
        <v>1510</v>
      </c>
      <c r="E267" s="61">
        <f>Materiales!$D$105</f>
        <v>5677.9661016949149</v>
      </c>
      <c r="F267" s="61">
        <f>+E267*0.18</f>
        <v>1022.0338983050847</v>
      </c>
      <c r="G267" s="17">
        <f t="shared" ref="G267:G272" si="36">+C267*E267+C267*F267</f>
        <v>337.68</v>
      </c>
      <c r="H267" s="12"/>
      <c r="J267">
        <f>+K266/0.25</f>
        <v>83.333320000000001</v>
      </c>
      <c r="K267">
        <v>83</v>
      </c>
      <c r="L267">
        <f>0.4*2+0.12*2</f>
        <v>1.04</v>
      </c>
      <c r="M267">
        <v>3.2810000000000001</v>
      </c>
      <c r="N267">
        <v>0.378</v>
      </c>
      <c r="O267">
        <f>+K267*L267*M267*N267/100</f>
        <v>1.0705561776000001</v>
      </c>
      <c r="P267">
        <f>+O267*1.05</f>
        <v>1.1240839864800001</v>
      </c>
      <c r="Q267">
        <f>+P267/J265</f>
        <v>23.418416385</v>
      </c>
    </row>
    <row r="268" spans="1:17">
      <c r="A268" s="19"/>
      <c r="B268" s="56" t="s">
        <v>1645</v>
      </c>
      <c r="C268" s="62"/>
      <c r="D268" s="57" t="s">
        <v>1513</v>
      </c>
      <c r="E268" s="61">
        <f>Materiales!$D$38</f>
        <v>3305.0847457627119</v>
      </c>
      <c r="F268" s="61">
        <f t="shared" ref="F268:F269" si="37">+E268*0.18</f>
        <v>594.91525423728808</v>
      </c>
      <c r="G268" s="17">
        <f t="shared" si="36"/>
        <v>0</v>
      </c>
      <c r="H268" s="18"/>
      <c r="O268">
        <f>SUM(O265:O267)</f>
        <v>3.3501672711955006</v>
      </c>
      <c r="P268">
        <f>+O268*1.05</f>
        <v>3.517675634755276</v>
      </c>
    </row>
    <row r="269" spans="1:17">
      <c r="A269" s="19"/>
      <c r="B269" s="56" t="s">
        <v>1646</v>
      </c>
      <c r="C269" s="62">
        <f>+(0.12*2+0.4*2)*6*3.281*0.378/100+5*3.281*0.378/100</f>
        <v>0.13940050320000003</v>
      </c>
      <c r="D269" s="57" t="s">
        <v>1513</v>
      </c>
      <c r="E269" s="61">
        <f>Materiales!$D$38</f>
        <v>3305.0847457627119</v>
      </c>
      <c r="F269" s="61">
        <f t="shared" si="37"/>
        <v>594.91525423728808</v>
      </c>
      <c r="G269" s="17">
        <f t="shared" si="36"/>
        <v>543.66196248000006</v>
      </c>
      <c r="H269" s="18"/>
    </row>
    <row r="270" spans="1:17">
      <c r="A270" s="19"/>
      <c r="B270" s="56" t="s">
        <v>1514</v>
      </c>
      <c r="C270" s="62">
        <f>+(C268+C269)*2</f>
        <v>0.27880100640000005</v>
      </c>
      <c r="D270" s="57" t="s">
        <v>1515</v>
      </c>
      <c r="E270" s="61">
        <f>110/1.18</f>
        <v>93.220338983050851</v>
      </c>
      <c r="F270" s="61">
        <f t="shared" ref="F270" si="38">+E270*0.18</f>
        <v>16.779661016949152</v>
      </c>
      <c r="G270" s="17">
        <f t="shared" si="36"/>
        <v>30.668110704000007</v>
      </c>
      <c r="H270" s="12"/>
      <c r="J270">
        <f>0.12*0.4</f>
        <v>4.8000000000000001E-2</v>
      </c>
    </row>
    <row r="271" spans="1:17">
      <c r="A271" s="19"/>
      <c r="B271" s="56" t="s">
        <v>1516</v>
      </c>
      <c r="C271" s="62">
        <v>1</v>
      </c>
      <c r="D271" s="57" t="s">
        <v>43</v>
      </c>
      <c r="E271" s="61">
        <v>107.87</v>
      </c>
      <c r="F271" s="61"/>
      <c r="G271" s="17">
        <f t="shared" si="36"/>
        <v>107.87</v>
      </c>
      <c r="H271" s="12"/>
      <c r="K271">
        <f>1/J270</f>
        <v>20.833333333333332</v>
      </c>
      <c r="L271">
        <v>5</v>
      </c>
      <c r="M271">
        <v>3.2810000000000001</v>
      </c>
      <c r="N271">
        <v>0.66669999999999996</v>
      </c>
      <c r="O271">
        <f>+K271*L271*M271*N271/100</f>
        <v>2.2785861458333332</v>
      </c>
    </row>
    <row r="272" spans="1:17">
      <c r="A272" s="19"/>
      <c r="B272" s="56" t="s">
        <v>1517</v>
      </c>
      <c r="C272" s="62">
        <v>1</v>
      </c>
      <c r="D272" s="57" t="s">
        <v>43</v>
      </c>
      <c r="E272" s="61">
        <v>210</v>
      </c>
      <c r="F272" s="61"/>
      <c r="G272" s="17">
        <f t="shared" si="36"/>
        <v>210</v>
      </c>
      <c r="H272" s="12"/>
      <c r="J272">
        <f>+K271/0.2</f>
        <v>104.16666666666666</v>
      </c>
      <c r="K272">
        <v>104</v>
      </c>
      <c r="L272">
        <f>0.4*2+0.12*2</f>
        <v>1.04</v>
      </c>
      <c r="M272">
        <v>3.2810000000000001</v>
      </c>
      <c r="N272">
        <v>0.378</v>
      </c>
      <c r="O272">
        <f>+K272*L272*M272*N272/100</f>
        <v>1.3414197887999999</v>
      </c>
    </row>
    <row r="273" spans="1:17" ht="15.75" thickBot="1">
      <c r="A273" s="21"/>
      <c r="B273" s="22"/>
      <c r="C273" s="23"/>
      <c r="D273" s="24" t="s">
        <v>111</v>
      </c>
      <c r="E273" s="78"/>
      <c r="F273" s="79"/>
      <c r="G273" s="26">
        <f>SUM(G267:G272)</f>
        <v>1229.8800731840001</v>
      </c>
      <c r="H273" s="27" t="s">
        <v>43</v>
      </c>
      <c r="O273">
        <f>SUM(O271:O272)</f>
        <v>3.6200059346333333</v>
      </c>
      <c r="P273">
        <f>+O273*1.05</f>
        <v>3.8010062313650002</v>
      </c>
    </row>
    <row r="274" spans="1:17" ht="15.75" thickTop="1">
      <c r="B274" s="55"/>
    </row>
    <row r="275" spans="1:17">
      <c r="A275" s="64"/>
      <c r="B275" s="370" t="e">
        <f>#REF!</f>
        <v>#REF!</v>
      </c>
      <c r="C275" s="370"/>
      <c r="D275" s="370"/>
      <c r="E275" s="370"/>
      <c r="F275" s="370"/>
      <c r="G275" s="370"/>
      <c r="H275" s="370"/>
      <c r="J275">
        <v>4.4999999999999998E-2</v>
      </c>
      <c r="K275">
        <v>2.2222</v>
      </c>
      <c r="L275">
        <v>0</v>
      </c>
      <c r="M275">
        <v>3.2810000000000001</v>
      </c>
      <c r="N275">
        <v>0.66700000000000004</v>
      </c>
      <c r="O275">
        <v>0</v>
      </c>
    </row>
    <row r="276" spans="1:17">
      <c r="A276" s="6"/>
      <c r="B276" s="7"/>
      <c r="C276" s="8" t="s">
        <v>98</v>
      </c>
      <c r="D276" s="9" t="s">
        <v>39</v>
      </c>
      <c r="E276" s="74" t="s">
        <v>99</v>
      </c>
      <c r="F276" s="75" t="s">
        <v>100</v>
      </c>
      <c r="G276" s="11" t="s">
        <v>101</v>
      </c>
      <c r="H276" s="12"/>
      <c r="J276">
        <f>1/J275</f>
        <v>22.222222222222221</v>
      </c>
      <c r="K276">
        <v>22.22222</v>
      </c>
      <c r="L276">
        <v>4</v>
      </c>
      <c r="M276">
        <v>3.2810000000000001</v>
      </c>
      <c r="N276">
        <v>0.378</v>
      </c>
      <c r="O276">
        <f>+K276*L276*M276*N276/100</f>
        <v>1.1024158897584002</v>
      </c>
    </row>
    <row r="277" spans="1:17">
      <c r="A277" s="19"/>
      <c r="B277" s="56" t="s">
        <v>1511</v>
      </c>
      <c r="C277" s="62">
        <v>1.1000000000000001</v>
      </c>
      <c r="D277" s="57" t="s">
        <v>1510</v>
      </c>
      <c r="E277" s="61">
        <f>Materiales!$D$105</f>
        <v>5677.9661016949149</v>
      </c>
      <c r="F277" s="61">
        <f>+E277*0.18</f>
        <v>1022.0338983050847</v>
      </c>
      <c r="G277" s="17">
        <f>+C277*E277+C277*F277</f>
        <v>7370</v>
      </c>
      <c r="H277" s="12"/>
      <c r="J277">
        <f>+K276/0.25</f>
        <v>88.88888</v>
      </c>
      <c r="K277">
        <v>89</v>
      </c>
      <c r="L277">
        <f>0.15*2+0.3*2</f>
        <v>0.89999999999999991</v>
      </c>
      <c r="M277">
        <v>3.2810000000000001</v>
      </c>
      <c r="N277">
        <v>0.378</v>
      </c>
      <c r="O277">
        <f>+K277*L277*M277*N277/100</f>
        <v>0.99341461799999986</v>
      </c>
      <c r="P277">
        <f>+O277*1.05</f>
        <v>1.0430853488999998</v>
      </c>
      <c r="Q277">
        <f>+P277/J275</f>
        <v>23.179674419999998</v>
      </c>
    </row>
    <row r="278" spans="1:17">
      <c r="A278" s="19"/>
      <c r="B278" s="56" t="s">
        <v>1646</v>
      </c>
      <c r="C278" s="62">
        <v>1.38</v>
      </c>
      <c r="D278" s="57" t="s">
        <v>1513</v>
      </c>
      <c r="E278" s="61">
        <f>Materiales!$D$38</f>
        <v>3305.0847457627119</v>
      </c>
      <c r="F278" s="61">
        <f t="shared" ref="F278:F279" si="39">+E278*0.18</f>
        <v>594.91525423728808</v>
      </c>
      <c r="G278" s="17">
        <f>+C278*E278+C278*F278</f>
        <v>5382</v>
      </c>
      <c r="H278" s="18"/>
      <c r="O278">
        <f>SUM(O275:O277)</f>
        <v>2.0958305077584001</v>
      </c>
      <c r="P278">
        <f>+O278*1.05</f>
        <v>2.20062203314632</v>
      </c>
    </row>
    <row r="279" spans="1:17">
      <c r="A279" s="19"/>
      <c r="B279" s="56" t="s">
        <v>1514</v>
      </c>
      <c r="C279" s="62">
        <f>+C278*2</f>
        <v>2.76</v>
      </c>
      <c r="D279" s="57" t="s">
        <v>1515</v>
      </c>
      <c r="E279" s="61">
        <f>110/1.18</f>
        <v>93.220338983050851</v>
      </c>
      <c r="F279" s="61">
        <f t="shared" si="39"/>
        <v>16.779661016949152</v>
      </c>
      <c r="G279" s="17">
        <f>+C279*E279+C279*F279</f>
        <v>303.59999999999997</v>
      </c>
      <c r="H279" s="12"/>
      <c r="J279">
        <f>0.12*0.4</f>
        <v>4.8000000000000001E-2</v>
      </c>
    </row>
    <row r="280" spans="1:17">
      <c r="A280" s="19"/>
      <c r="B280" s="56" t="s">
        <v>1516</v>
      </c>
      <c r="C280" s="62">
        <f>+C278</f>
        <v>1.38</v>
      </c>
      <c r="D280" s="57" t="s">
        <v>1513</v>
      </c>
      <c r="E280" s="61">
        <v>450</v>
      </c>
      <c r="F280" s="61"/>
      <c r="G280" s="17">
        <f>+C280*E280+C280*F280</f>
        <v>621</v>
      </c>
      <c r="H280" s="12"/>
      <c r="K280">
        <f>1/J279</f>
        <v>20.833333333333332</v>
      </c>
      <c r="L280">
        <v>5</v>
      </c>
      <c r="M280">
        <v>3.2810000000000001</v>
      </c>
      <c r="N280">
        <v>0.66669999999999996</v>
      </c>
      <c r="O280">
        <f>+K280*L280*M280*N280/100</f>
        <v>2.2785861458333332</v>
      </c>
    </row>
    <row r="281" spans="1:17">
      <c r="A281" s="19"/>
      <c r="B281" s="56" t="s">
        <v>1517</v>
      </c>
      <c r="C281" s="62">
        <f>1/0.14</f>
        <v>7.1428571428571423</v>
      </c>
      <c r="D281" s="57" t="s">
        <v>21</v>
      </c>
      <c r="E281" s="61">
        <v>500</v>
      </c>
      <c r="F281" s="61"/>
      <c r="G281" s="17">
        <f>+C281*E281+C281*F281</f>
        <v>3571.4285714285711</v>
      </c>
      <c r="H281" s="12"/>
      <c r="J281">
        <f>+K280/0.2</f>
        <v>104.16666666666666</v>
      </c>
      <c r="K281">
        <v>104</v>
      </c>
      <c r="L281">
        <f>0.4*2+0.12*2</f>
        <v>1.04</v>
      </c>
      <c r="M281">
        <v>3.2810000000000001</v>
      </c>
      <c r="N281">
        <v>0.378</v>
      </c>
      <c r="O281">
        <f>+K281*L281*M281*N281/100</f>
        <v>1.3414197887999999</v>
      </c>
    </row>
    <row r="282" spans="1:17" ht="15.75" thickBot="1">
      <c r="A282" s="21"/>
      <c r="B282" s="22"/>
      <c r="C282" s="23"/>
      <c r="D282" s="24" t="s">
        <v>111</v>
      </c>
      <c r="E282" s="78"/>
      <c r="F282" s="79"/>
      <c r="G282" s="26">
        <f>SUM(G277:G281)</f>
        <v>17248.028571428571</v>
      </c>
      <c r="H282" s="27" t="s">
        <v>106</v>
      </c>
      <c r="O282">
        <f>SUM(O280:O281)</f>
        <v>3.6200059346333333</v>
      </c>
      <c r="P282">
        <f>+O282*1.05</f>
        <v>3.8010062313650002</v>
      </c>
    </row>
    <row r="283" spans="1:17" ht="15.75" thickTop="1">
      <c r="B283" s="55"/>
    </row>
    <row r="284" spans="1:17">
      <c r="A284" s="64"/>
      <c r="B284" s="370" t="e">
        <f>#REF!</f>
        <v>#REF!</v>
      </c>
      <c r="C284" s="370"/>
      <c r="D284" s="370"/>
      <c r="E284" s="370"/>
      <c r="F284" s="370"/>
      <c r="G284" s="370"/>
      <c r="H284" s="370"/>
      <c r="J284">
        <v>4.4999999999999998E-2</v>
      </c>
      <c r="K284">
        <v>2.2222</v>
      </c>
      <c r="L284">
        <v>0</v>
      </c>
      <c r="M284">
        <v>3.2810000000000001</v>
      </c>
      <c r="N284">
        <v>0.66700000000000004</v>
      </c>
      <c r="O284">
        <v>0</v>
      </c>
    </row>
    <row r="285" spans="1:17">
      <c r="A285" s="6"/>
      <c r="B285" s="7"/>
      <c r="C285" s="8" t="s">
        <v>98</v>
      </c>
      <c r="D285" s="9" t="s">
        <v>39</v>
      </c>
      <c r="E285" s="74" t="s">
        <v>99</v>
      </c>
      <c r="F285" s="75" t="s">
        <v>100</v>
      </c>
      <c r="G285" s="11" t="s">
        <v>101</v>
      </c>
      <c r="H285" s="12"/>
      <c r="J285">
        <f>1/J284</f>
        <v>22.222222222222221</v>
      </c>
      <c r="K285">
        <v>22.22222</v>
      </c>
      <c r="L285">
        <v>4</v>
      </c>
      <c r="M285">
        <v>3.2810000000000001</v>
      </c>
      <c r="N285">
        <v>0.378</v>
      </c>
      <c r="O285">
        <f>+K285*L285*M285*N285/100</f>
        <v>1.1024158897584002</v>
      </c>
    </row>
    <row r="286" spans="1:17">
      <c r="A286" s="19"/>
      <c r="B286" s="56" t="s">
        <v>1511</v>
      </c>
      <c r="C286" s="62">
        <v>1.1000000000000001</v>
      </c>
      <c r="D286" s="57" t="s">
        <v>1510</v>
      </c>
      <c r="E286" s="61">
        <f>Materiales!$D$105</f>
        <v>5677.9661016949149</v>
      </c>
      <c r="F286" s="61">
        <f>+E286*0.18</f>
        <v>1022.0338983050847</v>
      </c>
      <c r="G286" s="17">
        <f>+C286*E286+C286*F286</f>
        <v>7370</v>
      </c>
      <c r="H286" s="12"/>
      <c r="J286">
        <f>+K285/0.25</f>
        <v>88.88888</v>
      </c>
      <c r="K286">
        <v>89</v>
      </c>
      <c r="L286">
        <f>0.15*2+0.3*2</f>
        <v>0.89999999999999991</v>
      </c>
      <c r="M286">
        <v>3.2810000000000001</v>
      </c>
      <c r="N286">
        <v>0.378</v>
      </c>
      <c r="O286">
        <f>+K286*L286*M286*N286/100</f>
        <v>0.99341461799999986</v>
      </c>
      <c r="P286">
        <f>+O286*1.05</f>
        <v>1.0430853488999998</v>
      </c>
      <c r="Q286">
        <f>+P286/J284</f>
        <v>23.179674419999998</v>
      </c>
    </row>
    <row r="287" spans="1:17">
      <c r="A287" s="19"/>
      <c r="B287" s="56" t="s">
        <v>1646</v>
      </c>
      <c r="C287" s="62">
        <v>1.81</v>
      </c>
      <c r="D287" s="57" t="s">
        <v>1513</v>
      </c>
      <c r="E287" s="61">
        <f>Materiales!$D$38</f>
        <v>3305.0847457627119</v>
      </c>
      <c r="F287" s="61">
        <f t="shared" ref="F287:F288" si="40">+E287*0.18</f>
        <v>594.91525423728808</v>
      </c>
      <c r="G287" s="17">
        <f>+C287*E287+C287*F287</f>
        <v>7059</v>
      </c>
      <c r="H287" s="18"/>
      <c r="O287">
        <f>SUM(O284:O286)</f>
        <v>2.0958305077584001</v>
      </c>
      <c r="P287">
        <f>+O287*1.05</f>
        <v>2.20062203314632</v>
      </c>
    </row>
    <row r="288" spans="1:17">
      <c r="A288" s="19"/>
      <c r="B288" s="56" t="s">
        <v>1514</v>
      </c>
      <c r="C288" s="62">
        <f>+C287*2</f>
        <v>3.62</v>
      </c>
      <c r="D288" s="57" t="s">
        <v>1515</v>
      </c>
      <c r="E288" s="61">
        <f>110/1.18</f>
        <v>93.220338983050851</v>
      </c>
      <c r="F288" s="61">
        <f t="shared" si="40"/>
        <v>16.779661016949152</v>
      </c>
      <c r="G288" s="17">
        <f>+C288*E288+C288*F288</f>
        <v>398.20000000000005</v>
      </c>
      <c r="H288" s="12"/>
      <c r="J288">
        <f>0.12*0.4</f>
        <v>4.8000000000000001E-2</v>
      </c>
    </row>
    <row r="289" spans="1:17">
      <c r="A289" s="19"/>
      <c r="B289" s="56" t="s">
        <v>1516</v>
      </c>
      <c r="C289" s="62">
        <f>+C287</f>
        <v>1.81</v>
      </c>
      <c r="D289" s="57" t="s">
        <v>1513</v>
      </c>
      <c r="E289" s="61">
        <v>323.23</v>
      </c>
      <c r="F289" s="61"/>
      <c r="G289" s="17">
        <f>+C289*E289+C289*F289</f>
        <v>585.04630000000009</v>
      </c>
      <c r="H289" s="12"/>
      <c r="K289">
        <f>1/J288</f>
        <v>20.833333333333332</v>
      </c>
      <c r="L289">
        <v>5</v>
      </c>
      <c r="M289">
        <v>3.2810000000000001</v>
      </c>
      <c r="N289">
        <v>0.66669999999999996</v>
      </c>
      <c r="O289">
        <f>+K289*L289*M289*N289/100</f>
        <v>2.2785861458333332</v>
      </c>
    </row>
    <row r="290" spans="1:17">
      <c r="A290" s="19"/>
      <c r="B290" s="56" t="s">
        <v>1517</v>
      </c>
      <c r="C290" s="62">
        <v>10</v>
      </c>
      <c r="D290" s="57" t="s">
        <v>21</v>
      </c>
      <c r="E290" s="61">
        <v>350</v>
      </c>
      <c r="F290" s="61"/>
      <c r="G290" s="17">
        <f>+C290*E290+C290*F290</f>
        <v>3500</v>
      </c>
      <c r="H290" s="12"/>
      <c r="J290">
        <f>+K289/0.2</f>
        <v>104.16666666666666</v>
      </c>
      <c r="K290">
        <v>104</v>
      </c>
      <c r="L290">
        <f>0.4*2+0.12*2</f>
        <v>1.04</v>
      </c>
      <c r="M290">
        <v>3.2810000000000001</v>
      </c>
      <c r="N290">
        <v>0.378</v>
      </c>
      <c r="O290">
        <f>+K290*L290*M290*N290/100</f>
        <v>1.3414197887999999</v>
      </c>
    </row>
    <row r="291" spans="1:17" ht="15.75" thickBot="1">
      <c r="A291" s="21"/>
      <c r="B291" s="22"/>
      <c r="C291" s="23"/>
      <c r="D291" s="24" t="s">
        <v>111</v>
      </c>
      <c r="E291" s="78"/>
      <c r="F291" s="79"/>
      <c r="G291" s="26">
        <f>SUM(G286:G290)</f>
        <v>18912.246299999999</v>
      </c>
      <c r="H291" s="27" t="s">
        <v>106</v>
      </c>
      <c r="O291">
        <f>SUM(O289:O290)</f>
        <v>3.6200059346333333</v>
      </c>
      <c r="P291">
        <f>+O291*1.05</f>
        <v>3.8010062313650002</v>
      </c>
    </row>
    <row r="292" spans="1:17" ht="15.75" thickTop="1"/>
    <row r="293" spans="1:17">
      <c r="A293" s="53"/>
      <c r="B293" s="53" t="s">
        <v>22</v>
      </c>
      <c r="C293" s="54"/>
      <c r="D293" s="54"/>
      <c r="E293" s="72"/>
      <c r="F293" s="72"/>
      <c r="G293" s="54"/>
      <c r="H293" s="54"/>
    </row>
    <row r="294" spans="1:17">
      <c r="B294" s="55"/>
    </row>
    <row r="295" spans="1:17">
      <c r="A295" s="64"/>
      <c r="B295" s="370" t="e">
        <f>#REF!</f>
        <v>#REF!</v>
      </c>
      <c r="C295" s="370"/>
      <c r="D295" s="370"/>
      <c r="E295" s="370"/>
      <c r="F295" s="370"/>
      <c r="G295" s="370"/>
      <c r="H295" s="370"/>
      <c r="J295">
        <v>1.008</v>
      </c>
    </row>
    <row r="296" spans="1:17">
      <c r="A296" s="6"/>
      <c r="B296" s="7"/>
      <c r="C296" s="8" t="s">
        <v>98</v>
      </c>
      <c r="D296" s="9" t="s">
        <v>39</v>
      </c>
      <c r="E296" s="74" t="s">
        <v>99</v>
      </c>
      <c r="F296" s="75" t="s">
        <v>100</v>
      </c>
      <c r="G296" s="11" t="s">
        <v>101</v>
      </c>
      <c r="H296" s="12"/>
      <c r="J296">
        <f>1.6/0.15</f>
        <v>10.666666666666668</v>
      </c>
      <c r="K296">
        <v>11</v>
      </c>
      <c r="L296">
        <v>1.4</v>
      </c>
      <c r="M296">
        <v>3.2810000000000001</v>
      </c>
      <c r="N296">
        <v>0.66700000000000004</v>
      </c>
      <c r="O296">
        <f>+K296*L296*M296*N296/100</f>
        <v>0.337017758</v>
      </c>
    </row>
    <row r="297" spans="1:17">
      <c r="A297" s="19"/>
      <c r="B297" s="56" t="s">
        <v>1521</v>
      </c>
      <c r="C297" s="62">
        <v>13</v>
      </c>
      <c r="D297" s="57" t="s">
        <v>3</v>
      </c>
      <c r="E297" s="61">
        <f>Materiales!$D$120</f>
        <v>49.152542372881356</v>
      </c>
      <c r="F297" s="61">
        <f>+E297*0.18</f>
        <v>8.8474576271186436</v>
      </c>
      <c r="G297" s="17">
        <f>+C297*E297+C297*F297</f>
        <v>754</v>
      </c>
      <c r="H297" s="12"/>
      <c r="O297">
        <f>SUM(O296:O296)</f>
        <v>0.337017758</v>
      </c>
      <c r="P297">
        <f>+O297*1.05</f>
        <v>0.3538686459</v>
      </c>
      <c r="Q297">
        <f>+P297/J295</f>
        <v>0.35106016458333333</v>
      </c>
    </row>
    <row r="298" spans="1:17">
      <c r="A298" s="19"/>
      <c r="B298" s="56" t="s">
        <v>1522</v>
      </c>
      <c r="C298" s="62">
        <v>3.1093333333333337E-2</v>
      </c>
      <c r="D298" s="57" t="s">
        <v>20</v>
      </c>
      <c r="E298" s="61">
        <f>'Analisis Auxiliares'!$G$11</f>
        <v>5880</v>
      </c>
      <c r="F298" s="61"/>
      <c r="G298" s="17">
        <f>+C298*E298+C298*F298</f>
        <v>182.82880000000003</v>
      </c>
      <c r="H298" s="18"/>
    </row>
    <row r="299" spans="1:17">
      <c r="A299" s="19"/>
      <c r="B299" s="56" t="s">
        <v>1523</v>
      </c>
      <c r="C299" s="62">
        <v>3.1199999999999999E-2</v>
      </c>
      <c r="D299" s="57" t="s">
        <v>20</v>
      </c>
      <c r="E299" s="61">
        <f>'Analisis Auxiliares'!$G$44</f>
        <v>6785.5</v>
      </c>
      <c r="F299" s="61"/>
      <c r="G299" s="17">
        <f>+C299*E299+C299*F299</f>
        <v>211.70759999999999</v>
      </c>
      <c r="H299" s="12"/>
    </row>
    <row r="300" spans="1:17">
      <c r="A300" s="19"/>
      <c r="B300" s="56" t="s">
        <v>1524</v>
      </c>
      <c r="C300" s="62">
        <v>2.6500000000000003E-2</v>
      </c>
      <c r="D300" s="57" t="s">
        <v>164</v>
      </c>
      <c r="E300" s="61">
        <f>Materiales!$D$38</f>
        <v>3305.0847457627119</v>
      </c>
      <c r="F300" s="61">
        <f t="shared" ref="F300:F301" si="41">+E300*0.18</f>
        <v>594.91525423728808</v>
      </c>
      <c r="G300" s="17">
        <f t="shared" ref="G300:G303" si="42">+C300*E300+C300*F300</f>
        <v>103.35000000000001</v>
      </c>
      <c r="H300" s="12"/>
    </row>
    <row r="301" spans="1:17">
      <c r="A301" s="19"/>
      <c r="B301" s="56" t="s">
        <v>1525</v>
      </c>
      <c r="C301" s="62">
        <v>5.3000000000000005E-2</v>
      </c>
      <c r="D301" s="57" t="s">
        <v>178</v>
      </c>
      <c r="E301" s="61">
        <f>110/1.18</f>
        <v>93.220338983050851</v>
      </c>
      <c r="F301" s="61">
        <f t="shared" si="41"/>
        <v>16.779661016949152</v>
      </c>
      <c r="G301" s="17">
        <f t="shared" si="42"/>
        <v>5.830000000000001</v>
      </c>
      <c r="H301" s="12"/>
    </row>
    <row r="302" spans="1:17">
      <c r="A302" s="19"/>
      <c r="B302" s="56" t="s">
        <v>1526</v>
      </c>
      <c r="C302" s="62">
        <v>0</v>
      </c>
      <c r="D302" s="57" t="s">
        <v>9</v>
      </c>
      <c r="E302" s="61"/>
      <c r="F302" s="61"/>
      <c r="G302" s="17">
        <f t="shared" si="42"/>
        <v>0</v>
      </c>
      <c r="H302" s="12"/>
    </row>
    <row r="303" spans="1:17">
      <c r="A303" s="19"/>
      <c r="B303" s="56" t="s">
        <v>1527</v>
      </c>
      <c r="C303" s="62">
        <v>13</v>
      </c>
      <c r="D303" s="57" t="s">
        <v>3</v>
      </c>
      <c r="E303" s="61">
        <v>30</v>
      </c>
      <c r="F303" s="61"/>
      <c r="G303" s="17">
        <f t="shared" si="42"/>
        <v>390</v>
      </c>
      <c r="H303" s="12"/>
    </row>
    <row r="304" spans="1:17" ht="15.75" thickBot="1">
      <c r="A304" s="21"/>
      <c r="B304" s="22"/>
      <c r="C304" s="23"/>
      <c r="D304" s="24" t="s">
        <v>111</v>
      </c>
      <c r="E304" s="78"/>
      <c r="F304" s="79"/>
      <c r="G304" s="26">
        <f>SUM(G297:G303)</f>
        <v>1647.7163999999998</v>
      </c>
      <c r="H304" s="27" t="s">
        <v>21</v>
      </c>
    </row>
    <row r="305" spans="1:17" ht="15.75" thickTop="1">
      <c r="B305" s="55"/>
    </row>
    <row r="306" spans="1:17">
      <c r="A306" s="64"/>
      <c r="B306" s="370" t="e">
        <f>#REF!</f>
        <v>#REF!</v>
      </c>
      <c r="C306" s="370"/>
      <c r="D306" s="370"/>
      <c r="E306" s="370"/>
      <c r="F306" s="370"/>
      <c r="G306" s="370"/>
      <c r="H306" s="370"/>
      <c r="J306">
        <v>1.008</v>
      </c>
    </row>
    <row r="307" spans="1:17">
      <c r="A307" s="6"/>
      <c r="B307" s="7"/>
      <c r="C307" s="8" t="s">
        <v>98</v>
      </c>
      <c r="D307" s="9" t="s">
        <v>39</v>
      </c>
      <c r="E307" s="74" t="s">
        <v>99</v>
      </c>
      <c r="F307" s="75" t="s">
        <v>100</v>
      </c>
      <c r="G307" s="11" t="s">
        <v>101</v>
      </c>
      <c r="H307" s="12"/>
      <c r="J307">
        <f>1.6/0.15</f>
        <v>10.666666666666668</v>
      </c>
      <c r="K307">
        <v>11</v>
      </c>
      <c r="L307">
        <v>1.4</v>
      </c>
      <c r="M307">
        <v>3.2810000000000001</v>
      </c>
      <c r="N307">
        <v>0.66700000000000004</v>
      </c>
      <c r="O307">
        <f>+K307*L307*M307*N307/100</f>
        <v>0.337017758</v>
      </c>
    </row>
    <row r="308" spans="1:17">
      <c r="A308" s="19"/>
      <c r="B308" s="56" t="s">
        <v>1521</v>
      </c>
      <c r="C308" s="62">
        <v>13</v>
      </c>
      <c r="D308" s="57" t="s">
        <v>3</v>
      </c>
      <c r="E308" s="61">
        <f>Materiales!$D$120</f>
        <v>49.152542372881356</v>
      </c>
      <c r="F308" s="61">
        <f>+E308*0.18</f>
        <v>8.8474576271186436</v>
      </c>
      <c r="G308" s="17">
        <f>+C308*E308+C308*F308</f>
        <v>754</v>
      </c>
      <c r="H308" s="12"/>
      <c r="O308">
        <f>SUM(O307:O307)</f>
        <v>0.337017758</v>
      </c>
      <c r="P308">
        <f>+O308*1.05</f>
        <v>0.3538686459</v>
      </c>
      <c r="Q308">
        <f>+P308/J306</f>
        <v>0.35106016458333333</v>
      </c>
    </row>
    <row r="309" spans="1:17">
      <c r="A309" s="19"/>
      <c r="B309" s="56" t="s">
        <v>1522</v>
      </c>
      <c r="C309" s="62">
        <v>3.1093333333333337E-2</v>
      </c>
      <c r="D309" s="57" t="s">
        <v>20</v>
      </c>
      <c r="E309" s="61">
        <f>'Analisis Auxiliares'!$G$11</f>
        <v>5880</v>
      </c>
      <c r="F309" s="61"/>
      <c r="G309" s="17">
        <f>+C309*E309+C309*F309</f>
        <v>182.82880000000003</v>
      </c>
      <c r="H309" s="18"/>
    </row>
    <row r="310" spans="1:17">
      <c r="A310" s="19"/>
      <c r="B310" s="56" t="s">
        <v>1523</v>
      </c>
      <c r="C310" s="62">
        <v>3.1199999999999999E-2</v>
      </c>
      <c r="D310" s="57" t="s">
        <v>20</v>
      </c>
      <c r="E310" s="61">
        <f>'Analisis Auxiliares'!$G$44</f>
        <v>6785.5</v>
      </c>
      <c r="F310" s="61"/>
      <c r="G310" s="17">
        <f>+C310*E310+C310*F310</f>
        <v>211.70759999999999</v>
      </c>
      <c r="H310" s="12"/>
    </row>
    <row r="311" spans="1:17">
      <c r="A311" s="19"/>
      <c r="B311" s="56" t="s">
        <v>1524</v>
      </c>
      <c r="C311" s="62">
        <v>2.6500000000000003E-2</v>
      </c>
      <c r="D311" s="57" t="s">
        <v>164</v>
      </c>
      <c r="E311" s="61">
        <f>Materiales!$D$38</f>
        <v>3305.0847457627119</v>
      </c>
      <c r="F311" s="61">
        <f t="shared" ref="F311:F312" si="43">+E311*0.18</f>
        <v>594.91525423728808</v>
      </c>
      <c r="G311" s="17">
        <f t="shared" ref="G311:G314" si="44">+C311*E311+C311*F311</f>
        <v>103.35000000000001</v>
      </c>
      <c r="H311" s="12"/>
    </row>
    <row r="312" spans="1:17">
      <c r="A312" s="19"/>
      <c r="B312" s="56" t="s">
        <v>1525</v>
      </c>
      <c r="C312" s="62">
        <v>5.3000000000000005E-2</v>
      </c>
      <c r="D312" s="57" t="s">
        <v>178</v>
      </c>
      <c r="E312" s="61">
        <f>110/1.18</f>
        <v>93.220338983050851</v>
      </c>
      <c r="F312" s="61">
        <f t="shared" si="43"/>
        <v>16.779661016949152</v>
      </c>
      <c r="G312" s="17">
        <f t="shared" si="44"/>
        <v>5.830000000000001</v>
      </c>
      <c r="H312" s="12"/>
    </row>
    <row r="313" spans="1:17">
      <c r="A313" s="19"/>
      <c r="B313" s="56" t="s">
        <v>1526</v>
      </c>
      <c r="C313" s="62">
        <v>1</v>
      </c>
      <c r="D313" s="57" t="s">
        <v>9</v>
      </c>
      <c r="E313" s="61">
        <v>35</v>
      </c>
      <c r="F313" s="61"/>
      <c r="G313" s="17">
        <f t="shared" si="44"/>
        <v>35</v>
      </c>
      <c r="H313" s="12"/>
    </row>
    <row r="314" spans="1:17">
      <c r="A314" s="19"/>
      <c r="B314" s="56" t="s">
        <v>1527</v>
      </c>
      <c r="C314" s="62">
        <v>13</v>
      </c>
      <c r="D314" s="57" t="s">
        <v>3</v>
      </c>
      <c r="E314" s="61">
        <v>30</v>
      </c>
      <c r="F314" s="61"/>
      <c r="G314" s="17">
        <f t="shared" si="44"/>
        <v>390</v>
      </c>
      <c r="H314" s="12"/>
    </row>
    <row r="315" spans="1:17" ht="15.75" thickBot="1">
      <c r="A315" s="21"/>
      <c r="B315" s="22"/>
      <c r="C315" s="23"/>
      <c r="D315" s="24" t="s">
        <v>111</v>
      </c>
      <c r="E315" s="78"/>
      <c r="F315" s="79"/>
      <c r="G315" s="26">
        <f>SUM(G308:G314)</f>
        <v>1682.7163999999998</v>
      </c>
      <c r="H315" s="27" t="s">
        <v>21</v>
      </c>
    </row>
    <row r="316" spans="1:17" ht="15.75" thickTop="1">
      <c r="B316" s="55"/>
    </row>
    <row r="317" spans="1:17">
      <c r="A317" s="64" t="e">
        <f>#REF!</f>
        <v>#REF!</v>
      </c>
      <c r="B317" s="370" t="e">
        <f>#REF!</f>
        <v>#REF!</v>
      </c>
      <c r="C317" s="370"/>
      <c r="D317" s="370"/>
      <c r="E317" s="370"/>
      <c r="F317" s="370"/>
      <c r="G317" s="370"/>
      <c r="H317" s="370"/>
      <c r="J317">
        <v>1.008</v>
      </c>
    </row>
    <row r="318" spans="1:17">
      <c r="A318" s="6"/>
      <c r="B318" s="7"/>
      <c r="C318" s="8" t="s">
        <v>98</v>
      </c>
      <c r="D318" s="9" t="s">
        <v>39</v>
      </c>
      <c r="E318" s="74" t="s">
        <v>99</v>
      </c>
      <c r="F318" s="75" t="s">
        <v>100</v>
      </c>
      <c r="G318" s="11" t="s">
        <v>101</v>
      </c>
      <c r="H318" s="12"/>
      <c r="J318">
        <f>1.6/0.15</f>
        <v>10.666666666666668</v>
      </c>
      <c r="K318">
        <v>11</v>
      </c>
      <c r="L318">
        <v>1.4</v>
      </c>
      <c r="M318">
        <v>3.2810000000000001</v>
      </c>
      <c r="N318">
        <v>0.66700000000000004</v>
      </c>
      <c r="O318">
        <f>+K318*L318*M318*N318/100</f>
        <v>0.337017758</v>
      </c>
    </row>
    <row r="319" spans="1:17">
      <c r="A319" s="19"/>
      <c r="B319" s="56" t="s">
        <v>1521</v>
      </c>
      <c r="C319" s="62">
        <v>13</v>
      </c>
      <c r="D319" s="57" t="s">
        <v>3</v>
      </c>
      <c r="E319" s="61">
        <f>Materiales!$D$117</f>
        <v>34.745762711864408</v>
      </c>
      <c r="F319" s="61">
        <f>+E319*0.18</f>
        <v>6.2542372881355934</v>
      </c>
      <c r="G319" s="17">
        <f>+C319*E319+C319*F319</f>
        <v>533</v>
      </c>
      <c r="H319" s="12"/>
      <c r="O319">
        <f>SUM(O318:O318)</f>
        <v>0.337017758</v>
      </c>
      <c r="P319">
        <f>+O319*1.05</f>
        <v>0.3538686459</v>
      </c>
      <c r="Q319">
        <f>+P319/J317</f>
        <v>0.35106016458333333</v>
      </c>
    </row>
    <row r="320" spans="1:17">
      <c r="A320" s="19"/>
      <c r="B320" s="56" t="s">
        <v>1522</v>
      </c>
      <c r="C320" s="62">
        <v>3.1093333333333337E-2</v>
      </c>
      <c r="D320" s="57" t="s">
        <v>20</v>
      </c>
      <c r="E320" s="61">
        <f>'Analisis Auxiliares'!$G$11</f>
        <v>5880</v>
      </c>
      <c r="F320" s="61"/>
      <c r="G320" s="17">
        <f>+C320*E320+C320*F320</f>
        <v>182.82880000000003</v>
      </c>
      <c r="H320" s="18"/>
    </row>
    <row r="321" spans="1:17">
      <c r="A321" s="19"/>
      <c r="B321" s="56" t="s">
        <v>1523</v>
      </c>
      <c r="C321" s="62">
        <v>3.1199999999999999E-2</v>
      </c>
      <c r="D321" s="57" t="s">
        <v>20</v>
      </c>
      <c r="E321" s="61">
        <f>'Analisis Auxiliares'!$G$44</f>
        <v>6785.5</v>
      </c>
      <c r="F321" s="61"/>
      <c r="G321" s="17">
        <f>+C321*E321+C321*F321</f>
        <v>211.70759999999999</v>
      </c>
      <c r="H321" s="12"/>
    </row>
    <row r="322" spans="1:17">
      <c r="A322" s="19"/>
      <c r="B322" s="56" t="s">
        <v>1524</v>
      </c>
      <c r="C322" s="62">
        <v>2.6500000000000003E-2</v>
      </c>
      <c r="D322" s="57" t="s">
        <v>164</v>
      </c>
      <c r="E322" s="61">
        <f>Materiales!$D$38</f>
        <v>3305.0847457627119</v>
      </c>
      <c r="F322" s="61">
        <f t="shared" ref="F322:F323" si="45">+E322*0.18</f>
        <v>594.91525423728808</v>
      </c>
      <c r="G322" s="17">
        <f t="shared" ref="G322:G325" si="46">+C322*E322+C322*F322</f>
        <v>103.35000000000001</v>
      </c>
      <c r="H322" s="12"/>
    </row>
    <row r="323" spans="1:17">
      <c r="A323" s="19"/>
      <c r="B323" s="56" t="s">
        <v>1525</v>
      </c>
      <c r="C323" s="62">
        <v>5.3000000000000005E-2</v>
      </c>
      <c r="D323" s="57" t="s">
        <v>178</v>
      </c>
      <c r="E323" s="61">
        <f>110/1.18</f>
        <v>93.220338983050851</v>
      </c>
      <c r="F323" s="61">
        <f t="shared" si="45"/>
        <v>16.779661016949152</v>
      </c>
      <c r="G323" s="17">
        <f t="shared" si="46"/>
        <v>5.830000000000001</v>
      </c>
      <c r="H323" s="12"/>
    </row>
    <row r="324" spans="1:17">
      <c r="A324" s="19"/>
      <c r="B324" s="56" t="s">
        <v>1526</v>
      </c>
      <c r="C324" s="62">
        <v>1</v>
      </c>
      <c r="D324" s="57" t="s">
        <v>9</v>
      </c>
      <c r="E324" s="61">
        <v>35</v>
      </c>
      <c r="F324" s="61"/>
      <c r="G324" s="17">
        <f t="shared" si="46"/>
        <v>35</v>
      </c>
      <c r="H324" s="12"/>
    </row>
    <row r="325" spans="1:17">
      <c r="A325" s="19"/>
      <c r="B325" s="56" t="s">
        <v>1527</v>
      </c>
      <c r="C325" s="62">
        <v>13</v>
      </c>
      <c r="D325" s="57" t="s">
        <v>3</v>
      </c>
      <c r="E325" s="61">
        <v>32</v>
      </c>
      <c r="F325" s="61"/>
      <c r="G325" s="17">
        <f t="shared" si="46"/>
        <v>416</v>
      </c>
      <c r="H325" s="12"/>
    </row>
    <row r="326" spans="1:17" ht="15.75" thickBot="1">
      <c r="A326" s="21"/>
      <c r="B326" s="22"/>
      <c r="C326" s="23"/>
      <c r="D326" s="24" t="s">
        <v>111</v>
      </c>
      <c r="E326" s="78"/>
      <c r="F326" s="79"/>
      <c r="G326" s="26">
        <f>SUM(G319:G325)</f>
        <v>1487.7163999999998</v>
      </c>
      <c r="H326" s="27" t="s">
        <v>21</v>
      </c>
    </row>
    <row r="327" spans="1:17" ht="15.75" thickTop="1">
      <c r="B327" s="55"/>
    </row>
    <row r="328" spans="1:17">
      <c r="A328" s="53"/>
      <c r="B328" s="53" t="s">
        <v>24</v>
      </c>
      <c r="C328" s="54"/>
      <c r="D328" s="54"/>
      <c r="E328" s="72"/>
      <c r="F328" s="72"/>
      <c r="G328" s="54"/>
      <c r="H328" s="54"/>
    </row>
    <row r="329" spans="1:17">
      <c r="B329" s="55"/>
    </row>
    <row r="330" spans="1:17">
      <c r="A330" s="64"/>
      <c r="B330" s="370" t="e">
        <f>#REF!</f>
        <v>#REF!</v>
      </c>
      <c r="C330" s="370"/>
      <c r="D330" s="370"/>
      <c r="E330" s="370"/>
      <c r="F330" s="370"/>
      <c r="G330" s="370"/>
      <c r="H330" s="370"/>
      <c r="J330">
        <v>1.008</v>
      </c>
    </row>
    <row r="331" spans="1:17">
      <c r="A331" s="6"/>
      <c r="B331" s="7"/>
      <c r="C331" s="8" t="s">
        <v>98</v>
      </c>
      <c r="D331" s="9" t="s">
        <v>39</v>
      </c>
      <c r="E331" s="74" t="s">
        <v>99</v>
      </c>
      <c r="F331" s="75" t="s">
        <v>100</v>
      </c>
      <c r="G331" s="11" t="s">
        <v>101</v>
      </c>
      <c r="H331" s="12"/>
      <c r="J331">
        <f>1.6/0.15</f>
        <v>10.666666666666668</v>
      </c>
      <c r="K331">
        <v>11</v>
      </c>
      <c r="L331">
        <v>1.4</v>
      </c>
      <c r="M331">
        <v>3.2810000000000001</v>
      </c>
      <c r="N331">
        <v>0.66700000000000004</v>
      </c>
      <c r="O331">
        <f>+K331*L331*M331*N331/100</f>
        <v>0.337017758</v>
      </c>
    </row>
    <row r="332" spans="1:17">
      <c r="A332" s="6"/>
      <c r="B332" s="7"/>
      <c r="C332" s="8"/>
      <c r="D332" s="9"/>
      <c r="E332" s="74"/>
      <c r="F332" s="75"/>
      <c r="G332" s="11"/>
      <c r="H332" s="12"/>
      <c r="J332">
        <f>1.4/0.15</f>
        <v>9.3333333333333339</v>
      </c>
      <c r="K332">
        <v>9</v>
      </c>
      <c r="L332">
        <v>1.6</v>
      </c>
      <c r="M332">
        <v>3.2810000000000001</v>
      </c>
      <c r="N332">
        <v>0.66700000000000004</v>
      </c>
      <c r="O332">
        <f>+K332*L332*M332*N332/100</f>
        <v>0.31513348800000002</v>
      </c>
    </row>
    <row r="333" spans="1:17">
      <c r="A333" s="19"/>
      <c r="B333" s="56" t="s">
        <v>1528</v>
      </c>
      <c r="C333" s="62">
        <v>2.1899999999999999E-2</v>
      </c>
      <c r="D333" s="57" t="s">
        <v>20</v>
      </c>
      <c r="E333" s="61">
        <f>'Analisis Auxiliares'!$G$55</f>
        <v>8214.5499999999993</v>
      </c>
      <c r="F333" s="61"/>
      <c r="G333" s="17">
        <f>+C333*E333+C333*F333</f>
        <v>179.89864499999999</v>
      </c>
      <c r="H333" s="12"/>
      <c r="O333">
        <f>SUM(O331:O332)</f>
        <v>0.65215124600000007</v>
      </c>
      <c r="P333">
        <f>+O333*1.05</f>
        <v>0.68475880830000013</v>
      </c>
      <c r="Q333">
        <f>+P333/J330</f>
        <v>0.67932421458333347</v>
      </c>
    </row>
    <row r="334" spans="1:17">
      <c r="A334" s="19"/>
      <c r="B334" s="56" t="s">
        <v>1529</v>
      </c>
      <c r="C334" s="62">
        <v>0.16669999999999999</v>
      </c>
      <c r="D334" s="57" t="s">
        <v>190</v>
      </c>
      <c r="E334" s="61">
        <f>Materiales!$D$64</f>
        <v>101.69491525423729</v>
      </c>
      <c r="F334" s="61">
        <f>+E334*0.18</f>
        <v>18.305084745762709</v>
      </c>
      <c r="G334" s="17">
        <f>+C334*E334+C334*F334</f>
        <v>20.003999999999998</v>
      </c>
      <c r="H334" s="18"/>
    </row>
    <row r="335" spans="1:17">
      <c r="A335" s="19"/>
      <c r="B335" s="56" t="s">
        <v>1531</v>
      </c>
      <c r="C335" s="62">
        <v>1</v>
      </c>
      <c r="D335" s="57" t="s">
        <v>9</v>
      </c>
      <c r="E335" s="61">
        <v>35</v>
      </c>
      <c r="F335" s="61"/>
      <c r="G335" s="17">
        <f>+C335*E335+C335*F335</f>
        <v>35</v>
      </c>
      <c r="H335" s="18"/>
    </row>
    <row r="336" spans="1:17">
      <c r="A336" s="19"/>
      <c r="B336" s="56" t="s">
        <v>1534</v>
      </c>
      <c r="C336" s="62">
        <v>1</v>
      </c>
      <c r="D336" s="57" t="s">
        <v>9</v>
      </c>
      <c r="E336" s="61">
        <v>190</v>
      </c>
      <c r="F336" s="61">
        <v>0</v>
      </c>
      <c r="G336" s="17">
        <f>+C336*E336+C336*F336</f>
        <v>190</v>
      </c>
      <c r="H336" s="12"/>
    </row>
    <row r="337" spans="1:17" ht="15.75" thickBot="1">
      <c r="A337" s="21"/>
      <c r="B337" s="22"/>
      <c r="C337" s="23"/>
      <c r="D337" s="24" t="s">
        <v>111</v>
      </c>
      <c r="E337" s="78"/>
      <c r="F337" s="79"/>
      <c r="G337" s="26">
        <f>SUM(G333:G336)</f>
        <v>424.90264500000001</v>
      </c>
      <c r="H337" s="27" t="s">
        <v>21</v>
      </c>
    </row>
    <row r="338" spans="1:17" ht="15.75" thickTop="1">
      <c r="B338" s="55"/>
    </row>
    <row r="339" spans="1:17">
      <c r="A339" s="64"/>
      <c r="B339" s="370" t="e">
        <f>#REF!</f>
        <v>#REF!</v>
      </c>
      <c r="C339" s="370"/>
      <c r="D339" s="370"/>
      <c r="E339" s="370"/>
      <c r="F339" s="370"/>
      <c r="G339" s="370"/>
      <c r="H339" s="370"/>
      <c r="J339">
        <v>1.008</v>
      </c>
    </row>
    <row r="340" spans="1:17">
      <c r="A340" s="6"/>
      <c r="B340" s="7"/>
      <c r="C340" s="8" t="s">
        <v>98</v>
      </c>
      <c r="D340" s="9" t="s">
        <v>39</v>
      </c>
      <c r="E340" s="74" t="s">
        <v>99</v>
      </c>
      <c r="F340" s="75" t="s">
        <v>100</v>
      </c>
      <c r="G340" s="11" t="s">
        <v>101</v>
      </c>
      <c r="H340" s="12"/>
      <c r="J340">
        <f>1.6/0.15</f>
        <v>10.666666666666668</v>
      </c>
      <c r="K340">
        <v>11</v>
      </c>
      <c r="L340">
        <v>1.4</v>
      </c>
      <c r="M340">
        <v>3.2810000000000001</v>
      </c>
      <c r="N340">
        <v>0.66700000000000004</v>
      </c>
      <c r="O340">
        <f>+K340*L340*M340*N340/100</f>
        <v>0.337017758</v>
      </c>
    </row>
    <row r="341" spans="1:17">
      <c r="A341" s="6"/>
      <c r="B341" s="7"/>
      <c r="C341" s="8"/>
      <c r="D341" s="9"/>
      <c r="E341" s="74"/>
      <c r="F341" s="75"/>
      <c r="G341" s="11"/>
      <c r="H341" s="12"/>
      <c r="J341">
        <f>1.4/0.15</f>
        <v>9.3333333333333339</v>
      </c>
      <c r="K341">
        <v>9</v>
      </c>
      <c r="L341">
        <v>1.6</v>
      </c>
      <c r="M341">
        <v>3.2810000000000001</v>
      </c>
      <c r="N341">
        <v>0.66700000000000004</v>
      </c>
      <c r="O341">
        <f>+K341*L341*M341*N341/100</f>
        <v>0.31513348800000002</v>
      </c>
    </row>
    <row r="342" spans="1:17">
      <c r="A342" s="19"/>
      <c r="B342" s="56" t="s">
        <v>1528</v>
      </c>
      <c r="C342" s="62">
        <v>2.1899999999999999E-2</v>
      </c>
      <c r="D342" s="57" t="s">
        <v>20</v>
      </c>
      <c r="E342" s="61">
        <f>'Analisis Auxiliares'!$G$55</f>
        <v>8214.5499999999993</v>
      </c>
      <c r="F342" s="61"/>
      <c r="G342" s="17">
        <f>+C342*E342+C342*F342</f>
        <v>179.89864499999999</v>
      </c>
      <c r="H342" s="12"/>
      <c r="O342">
        <f>SUM(O340:O341)</f>
        <v>0.65215124600000007</v>
      </c>
      <c r="P342">
        <f>+O342*1.05</f>
        <v>0.68475880830000013</v>
      </c>
      <c r="Q342">
        <f>+P342/J339</f>
        <v>0.67932421458333347</v>
      </c>
    </row>
    <row r="343" spans="1:17">
      <c r="A343" s="19"/>
      <c r="B343" s="56" t="s">
        <v>1529</v>
      </c>
      <c r="C343" s="62">
        <v>0.16669999999999999</v>
      </c>
      <c r="D343" s="57" t="s">
        <v>190</v>
      </c>
      <c r="E343" s="61">
        <f>Materiales!$D$64</f>
        <v>101.69491525423729</v>
      </c>
      <c r="F343" s="61">
        <f>+E343*0.18</f>
        <v>18.305084745762709</v>
      </c>
      <c r="G343" s="17">
        <f>+C343*E343+C343*F343</f>
        <v>20.003999999999998</v>
      </c>
      <c r="H343" s="18"/>
    </row>
    <row r="344" spans="1:17">
      <c r="A344" s="19"/>
      <c r="B344" s="56" t="s">
        <v>1531</v>
      </c>
      <c r="C344" s="62">
        <v>1</v>
      </c>
      <c r="D344" s="57" t="s">
        <v>9</v>
      </c>
      <c r="E344" s="61">
        <v>35</v>
      </c>
      <c r="F344" s="61"/>
      <c r="G344" s="17">
        <f>+C344*E344+C344*F344</f>
        <v>35</v>
      </c>
      <c r="H344" s="18"/>
    </row>
    <row r="345" spans="1:17">
      <c r="A345" s="19"/>
      <c r="B345" s="56" t="s">
        <v>1681</v>
      </c>
      <c r="C345" s="62">
        <v>1</v>
      </c>
      <c r="D345" s="57" t="s">
        <v>9</v>
      </c>
      <c r="E345" s="61">
        <v>293.32</v>
      </c>
      <c r="F345" s="61">
        <v>0</v>
      </c>
      <c r="G345" s="17">
        <f>+C345*E345+C345*F345</f>
        <v>293.32</v>
      </c>
      <c r="H345" s="12"/>
    </row>
    <row r="346" spans="1:17" ht="15.75" thickBot="1">
      <c r="A346" s="21"/>
      <c r="B346" s="22"/>
      <c r="C346" s="23"/>
      <c r="D346" s="24" t="s">
        <v>111</v>
      </c>
      <c r="E346" s="78"/>
      <c r="F346" s="79"/>
      <c r="G346" s="26">
        <f>SUM(G342:G345)</f>
        <v>528.22264499999994</v>
      </c>
      <c r="H346" s="27" t="s">
        <v>21</v>
      </c>
    </row>
    <row r="347" spans="1:17" ht="15.75" thickTop="1">
      <c r="B347" s="55"/>
    </row>
    <row r="348" spans="1:17">
      <c r="A348" s="64"/>
      <c r="B348" s="370" t="e">
        <f>#REF!</f>
        <v>#REF!</v>
      </c>
      <c r="C348" s="370"/>
      <c r="D348" s="370"/>
      <c r="E348" s="370"/>
      <c r="F348" s="370"/>
      <c r="G348" s="370"/>
      <c r="H348" s="370"/>
      <c r="J348">
        <v>1.008</v>
      </c>
    </row>
    <row r="349" spans="1:17">
      <c r="A349" s="6"/>
      <c r="B349" s="7"/>
      <c r="C349" s="8" t="s">
        <v>98</v>
      </c>
      <c r="D349" s="9" t="s">
        <v>39</v>
      </c>
      <c r="E349" s="74" t="s">
        <v>99</v>
      </c>
      <c r="F349" s="75" t="s">
        <v>100</v>
      </c>
      <c r="G349" s="11" t="s">
        <v>101</v>
      </c>
      <c r="H349" s="12"/>
      <c r="J349">
        <f>1.6/0.15</f>
        <v>10.666666666666668</v>
      </c>
      <c r="K349">
        <v>11</v>
      </c>
      <c r="L349">
        <v>1.4</v>
      </c>
      <c r="M349">
        <v>3.2810000000000001</v>
      </c>
      <c r="N349">
        <v>0.66700000000000004</v>
      </c>
      <c r="O349">
        <f>+K349*L349*M349*N349/100</f>
        <v>0.337017758</v>
      </c>
    </row>
    <row r="350" spans="1:17">
      <c r="A350" s="6"/>
      <c r="B350" s="7"/>
      <c r="C350" s="8"/>
      <c r="D350" s="9"/>
      <c r="E350" s="74"/>
      <c r="F350" s="75"/>
      <c r="G350" s="11"/>
      <c r="H350" s="12"/>
      <c r="J350">
        <f>1.4/0.15</f>
        <v>9.3333333333333339</v>
      </c>
      <c r="K350">
        <v>9</v>
      </c>
      <c r="L350">
        <v>1.6</v>
      </c>
      <c r="M350">
        <v>3.2810000000000001</v>
      </c>
      <c r="N350">
        <v>0.66700000000000004</v>
      </c>
      <c r="O350">
        <f>+K350*L350*M350*N350/100</f>
        <v>0.31513348800000002</v>
      </c>
    </row>
    <row r="351" spans="1:17">
      <c r="A351" s="19"/>
      <c r="B351" s="56" t="s">
        <v>1528</v>
      </c>
      <c r="C351" s="62">
        <v>2.1899999999999999E-2</v>
      </c>
      <c r="D351" s="57" t="s">
        <v>20</v>
      </c>
      <c r="E351" s="61">
        <f>'Analisis Auxiliares'!$G$55</f>
        <v>8214.5499999999993</v>
      </c>
      <c r="F351" s="61"/>
      <c r="G351" s="17">
        <f>+C351*E351+C351*F351</f>
        <v>179.89864499999999</v>
      </c>
      <c r="H351" s="12"/>
      <c r="O351">
        <f>SUM(O349:O350)</f>
        <v>0.65215124600000007</v>
      </c>
      <c r="P351">
        <f>+O351*1.05</f>
        <v>0.68475880830000013</v>
      </c>
      <c r="Q351">
        <f>+P351/J348</f>
        <v>0.67932421458333347</v>
      </c>
    </row>
    <row r="352" spans="1:17">
      <c r="A352" s="19"/>
      <c r="B352" s="56" t="s">
        <v>1529</v>
      </c>
      <c r="C352" s="62">
        <v>0.16669999999999999</v>
      </c>
      <c r="D352" s="57" t="s">
        <v>190</v>
      </c>
      <c r="E352" s="61">
        <f>Materiales!$D$64</f>
        <v>101.69491525423729</v>
      </c>
      <c r="F352" s="61">
        <f>+E352*0.18</f>
        <v>18.305084745762709</v>
      </c>
      <c r="G352" s="17">
        <f>+C352*E352+C352*F352</f>
        <v>20.003999999999998</v>
      </c>
      <c r="H352" s="18"/>
    </row>
    <row r="353" spans="1:17">
      <c r="A353" s="19"/>
      <c r="B353" s="56" t="s">
        <v>1531</v>
      </c>
      <c r="C353" s="62">
        <v>1</v>
      </c>
      <c r="D353" s="57" t="s">
        <v>9</v>
      </c>
      <c r="E353" s="61">
        <v>35</v>
      </c>
      <c r="F353" s="61"/>
      <c r="G353" s="17">
        <f>+C353*E353+C353*F353</f>
        <v>35</v>
      </c>
      <c r="H353" s="18"/>
    </row>
    <row r="354" spans="1:17">
      <c r="A354" s="19"/>
      <c r="B354" s="56" t="s">
        <v>1680</v>
      </c>
      <c r="C354" s="62">
        <v>1</v>
      </c>
      <c r="D354" s="57" t="s">
        <v>9</v>
      </c>
      <c r="E354" s="61">
        <v>246</v>
      </c>
      <c r="F354" s="61">
        <v>0</v>
      </c>
      <c r="G354" s="17">
        <f>+C354*E354+C354*F354</f>
        <v>246</v>
      </c>
      <c r="H354" s="12"/>
    </row>
    <row r="355" spans="1:17" ht="15.75" thickBot="1">
      <c r="A355" s="21"/>
      <c r="B355" s="22"/>
      <c r="C355" s="23"/>
      <c r="D355" s="24" t="s">
        <v>111</v>
      </c>
      <c r="E355" s="78"/>
      <c r="F355" s="79"/>
      <c r="G355" s="26">
        <f>SUM(G351:G354)</f>
        <v>480.90264500000001</v>
      </c>
      <c r="H355" s="27" t="s">
        <v>21</v>
      </c>
    </row>
    <row r="356" spans="1:17" ht="15.75" thickTop="1">
      <c r="B356" s="55"/>
    </row>
    <row r="357" spans="1:17">
      <c r="A357" s="64"/>
      <c r="B357" s="370" t="e">
        <f>#REF!</f>
        <v>#REF!</v>
      </c>
      <c r="C357" s="370"/>
      <c r="D357" s="370"/>
      <c r="E357" s="370"/>
      <c r="F357" s="370"/>
      <c r="G357" s="370"/>
      <c r="H357" s="370"/>
      <c r="J357">
        <v>1.008</v>
      </c>
    </row>
    <row r="358" spans="1:17">
      <c r="A358" s="6"/>
      <c r="B358" s="7"/>
      <c r="C358" s="8" t="s">
        <v>98</v>
      </c>
      <c r="D358" s="9" t="s">
        <v>39</v>
      </c>
      <c r="E358" s="74" t="s">
        <v>99</v>
      </c>
      <c r="F358" s="75" t="s">
        <v>100</v>
      </c>
      <c r="G358" s="11" t="s">
        <v>101</v>
      </c>
      <c r="H358" s="12"/>
      <c r="J358">
        <f>1.6/0.15</f>
        <v>10.666666666666668</v>
      </c>
      <c r="K358">
        <v>11</v>
      </c>
      <c r="L358">
        <v>1.4</v>
      </c>
      <c r="M358">
        <v>3.2810000000000001</v>
      </c>
      <c r="N358">
        <v>0.66700000000000004</v>
      </c>
      <c r="O358">
        <f>+K358*L358*M358*N358/100</f>
        <v>0.337017758</v>
      </c>
    </row>
    <row r="359" spans="1:17">
      <c r="A359" s="6"/>
      <c r="B359" s="7"/>
      <c r="C359" s="8"/>
      <c r="D359" s="9"/>
      <c r="E359" s="74"/>
      <c r="F359" s="75"/>
      <c r="G359" s="11"/>
      <c r="H359" s="12"/>
      <c r="J359">
        <f>1.4/0.15</f>
        <v>9.3333333333333339</v>
      </c>
      <c r="K359">
        <v>9</v>
      </c>
      <c r="L359">
        <v>1.6</v>
      </c>
      <c r="M359">
        <v>3.2810000000000001</v>
      </c>
      <c r="N359">
        <v>0.66700000000000004</v>
      </c>
      <c r="O359">
        <f>+K359*L359*M359*N359/100</f>
        <v>0.31513348800000002</v>
      </c>
    </row>
    <row r="360" spans="1:17">
      <c r="A360" s="19"/>
      <c r="B360" s="56" t="s">
        <v>1528</v>
      </c>
      <c r="C360" s="62">
        <v>2.3E-3</v>
      </c>
      <c r="D360" s="57" t="s">
        <v>20</v>
      </c>
      <c r="E360" s="61">
        <f>'Analisis Auxiliares'!$G$55</f>
        <v>8214.5499999999993</v>
      </c>
      <c r="F360" s="61"/>
      <c r="G360" s="17">
        <f>+C360*E360+C360*F360</f>
        <v>18.893464999999999</v>
      </c>
      <c r="H360" s="12"/>
      <c r="O360">
        <f>SUM(O358:O359)</f>
        <v>0.65215124600000007</v>
      </c>
      <c r="P360">
        <f>+O360*1.05</f>
        <v>0.68475880830000013</v>
      </c>
      <c r="Q360">
        <f>+P360/J357</f>
        <v>0.67932421458333347</v>
      </c>
    </row>
    <row r="361" spans="1:17">
      <c r="A361" s="19"/>
      <c r="B361" s="56" t="s">
        <v>1529</v>
      </c>
      <c r="C361" s="62">
        <v>0.16669999999999999</v>
      </c>
      <c r="D361" s="57" t="s">
        <v>190</v>
      </c>
      <c r="E361" s="61">
        <f>Materiales!$D$64</f>
        <v>101.69491525423729</v>
      </c>
      <c r="F361" s="61">
        <f>+E361*0.18</f>
        <v>18.305084745762709</v>
      </c>
      <c r="G361" s="17">
        <f>+C361*E361+C361*F361</f>
        <v>20.003999999999998</v>
      </c>
      <c r="H361" s="18"/>
    </row>
    <row r="362" spans="1:17">
      <c r="A362" s="19"/>
      <c r="B362" s="56" t="s">
        <v>1530</v>
      </c>
      <c r="C362" s="62">
        <v>1</v>
      </c>
      <c r="D362" s="57" t="s">
        <v>9</v>
      </c>
      <c r="E362" s="61">
        <v>45.19</v>
      </c>
      <c r="F362" s="61"/>
      <c r="G362" s="17">
        <f>+C362*E362+C362*F362</f>
        <v>45.19</v>
      </c>
      <c r="H362" s="12"/>
    </row>
    <row r="363" spans="1:17" ht="15.75" thickBot="1">
      <c r="A363" s="21"/>
      <c r="B363" s="22"/>
      <c r="C363" s="23"/>
      <c r="D363" s="24" t="s">
        <v>111</v>
      </c>
      <c r="E363" s="78"/>
      <c r="F363" s="79"/>
      <c r="G363" s="26">
        <f>SUM(G360:G362)</f>
        <v>84.087464999999995</v>
      </c>
      <c r="H363" s="27" t="s">
        <v>21</v>
      </c>
    </row>
    <row r="364" spans="1:17" ht="15.75" thickTop="1">
      <c r="B364" s="55"/>
    </row>
    <row r="365" spans="1:17">
      <c r="A365" s="64"/>
      <c r="B365" s="370" t="e">
        <f>#REF!</f>
        <v>#REF!</v>
      </c>
      <c r="C365" s="370"/>
      <c r="D365" s="370"/>
      <c r="E365" s="370"/>
      <c r="F365" s="370"/>
      <c r="G365" s="370"/>
      <c r="H365" s="370"/>
      <c r="J365">
        <v>1.008</v>
      </c>
    </row>
    <row r="366" spans="1:17">
      <c r="A366" s="6"/>
      <c r="B366" s="7"/>
      <c r="C366" s="8" t="s">
        <v>98</v>
      </c>
      <c r="D366" s="9" t="s">
        <v>39</v>
      </c>
      <c r="E366" s="74" t="s">
        <v>99</v>
      </c>
      <c r="F366" s="75" t="s">
        <v>100</v>
      </c>
      <c r="G366" s="11" t="s">
        <v>101</v>
      </c>
      <c r="H366" s="12"/>
      <c r="J366">
        <f>1.6/0.15</f>
        <v>10.666666666666668</v>
      </c>
      <c r="K366">
        <v>11</v>
      </c>
      <c r="L366">
        <v>1.4</v>
      </c>
      <c r="M366">
        <v>3.2810000000000001</v>
      </c>
      <c r="N366">
        <v>0.66700000000000004</v>
      </c>
      <c r="O366">
        <f>+K366*L366*M366*N366/100</f>
        <v>0.337017758</v>
      </c>
    </row>
    <row r="367" spans="1:17">
      <c r="A367" s="6"/>
      <c r="B367" s="7"/>
      <c r="C367" s="8"/>
      <c r="D367" s="9"/>
      <c r="E367" s="74"/>
      <c r="F367" s="75"/>
      <c r="G367" s="11"/>
      <c r="H367" s="12"/>
      <c r="J367">
        <f>1.4/0.15</f>
        <v>9.3333333333333339</v>
      </c>
      <c r="K367">
        <v>9</v>
      </c>
      <c r="L367">
        <v>1.6</v>
      </c>
      <c r="M367">
        <v>3.2810000000000001</v>
      </c>
      <c r="N367">
        <v>0.66700000000000004</v>
      </c>
      <c r="O367">
        <f>+K367*L367*M367*N367/100</f>
        <v>0.31513348800000002</v>
      </c>
    </row>
    <row r="368" spans="1:17">
      <c r="A368" s="19"/>
      <c r="B368" s="56" t="s">
        <v>1535</v>
      </c>
      <c r="C368" s="65">
        <v>2.5000000000000001E-3</v>
      </c>
      <c r="D368" s="57" t="s">
        <v>20</v>
      </c>
      <c r="E368" s="61">
        <f>'Analisis Auxiliares'!$G$55</f>
        <v>8214.5499999999993</v>
      </c>
      <c r="F368" s="61"/>
      <c r="G368" s="17">
        <f>+C368*E368+C368*F368</f>
        <v>20.536375</v>
      </c>
      <c r="H368" s="12"/>
      <c r="O368">
        <f>SUM(O366:O367)</f>
        <v>0.65215124600000007</v>
      </c>
      <c r="P368">
        <f>+O368*1.05</f>
        <v>0.68475880830000013</v>
      </c>
      <c r="Q368">
        <f>+P368/J365</f>
        <v>0.67932421458333347</v>
      </c>
    </row>
    <row r="369" spans="1:17">
      <c r="A369" s="19"/>
      <c r="B369" s="56" t="s">
        <v>1536</v>
      </c>
      <c r="C369" s="62">
        <v>0.33329999999999999</v>
      </c>
      <c r="D369" s="57" t="s">
        <v>190</v>
      </c>
      <c r="E369" s="61">
        <f>Materiales!$D$64</f>
        <v>101.69491525423729</v>
      </c>
      <c r="F369" s="61">
        <f>+E369*0.18</f>
        <v>18.305084745762709</v>
      </c>
      <c r="G369" s="17">
        <f>+C369*E369+C369*F369</f>
        <v>39.995999999999995</v>
      </c>
      <c r="H369" s="18"/>
    </row>
    <row r="370" spans="1:17">
      <c r="A370" s="19"/>
      <c r="B370" s="56" t="s">
        <v>1537</v>
      </c>
      <c r="C370" s="62">
        <v>1</v>
      </c>
      <c r="D370" s="57" t="s">
        <v>14</v>
      </c>
      <c r="E370" s="61">
        <v>82.8</v>
      </c>
      <c r="F370" s="61">
        <v>0</v>
      </c>
      <c r="G370" s="17">
        <f>+C370*E370+C370*F370</f>
        <v>82.8</v>
      </c>
      <c r="H370" s="12"/>
    </row>
    <row r="371" spans="1:17" ht="15.75" thickBot="1">
      <c r="A371" s="21"/>
      <c r="B371" s="22"/>
      <c r="C371" s="23"/>
      <c r="D371" s="24" t="s">
        <v>111</v>
      </c>
      <c r="E371" s="78"/>
      <c r="F371" s="79"/>
      <c r="G371" s="26">
        <f>SUM(G368:G370)</f>
        <v>143.33237499999998</v>
      </c>
      <c r="H371" s="27" t="s">
        <v>43</v>
      </c>
    </row>
    <row r="372" spans="1:17" ht="15.75" thickTop="1">
      <c r="B372" s="55"/>
    </row>
    <row r="373" spans="1:17">
      <c r="A373" s="64"/>
      <c r="B373" s="370" t="e">
        <f>#REF!</f>
        <v>#REF!</v>
      </c>
      <c r="C373" s="370"/>
      <c r="D373" s="370"/>
      <c r="E373" s="370"/>
      <c r="F373" s="370"/>
      <c r="G373" s="370"/>
      <c r="H373" s="370"/>
      <c r="J373">
        <v>1.008</v>
      </c>
    </row>
    <row r="374" spans="1:17">
      <c r="A374" s="6"/>
      <c r="B374" s="7"/>
      <c r="C374" s="8" t="s">
        <v>98</v>
      </c>
      <c r="D374" s="9" t="s">
        <v>39</v>
      </c>
      <c r="E374" s="74" t="s">
        <v>99</v>
      </c>
      <c r="F374" s="75" t="s">
        <v>100</v>
      </c>
      <c r="G374" s="11" t="s">
        <v>101</v>
      </c>
      <c r="H374" s="12"/>
      <c r="J374">
        <f>1.6/0.15</f>
        <v>10.666666666666668</v>
      </c>
      <c r="K374">
        <v>11</v>
      </c>
      <c r="L374">
        <v>1.4</v>
      </c>
      <c r="M374">
        <v>3.2810000000000001</v>
      </c>
      <c r="N374">
        <v>0.66700000000000004</v>
      </c>
      <c r="O374">
        <f>+K374*L374*M374*N374/100</f>
        <v>0.337017758</v>
      </c>
    </row>
    <row r="375" spans="1:17">
      <c r="A375" s="6"/>
      <c r="B375" s="7"/>
      <c r="C375" s="8"/>
      <c r="D375" s="9"/>
      <c r="E375" s="74"/>
      <c r="F375" s="75"/>
      <c r="G375" s="11"/>
      <c r="H375" s="12"/>
      <c r="J375">
        <f>1.4/0.15</f>
        <v>9.3333333333333339</v>
      </c>
      <c r="K375">
        <v>9</v>
      </c>
      <c r="L375">
        <v>1.6</v>
      </c>
      <c r="M375">
        <v>3.2810000000000001</v>
      </c>
      <c r="N375">
        <v>0.66700000000000004</v>
      </c>
      <c r="O375">
        <f>+K375*L375*M375*N375/100</f>
        <v>0.31513348800000002</v>
      </c>
    </row>
    <row r="376" spans="1:17">
      <c r="A376" s="19"/>
      <c r="B376" s="56" t="s">
        <v>1535</v>
      </c>
      <c r="C376" s="65">
        <v>2.5000000000000001E-3</v>
      </c>
      <c r="D376" s="57" t="s">
        <v>20</v>
      </c>
      <c r="E376" s="61">
        <f>'Analisis Auxiliares'!$G$55</f>
        <v>8214.5499999999993</v>
      </c>
      <c r="F376" s="61"/>
      <c r="G376" s="17">
        <f>+C376*E376+C376*F376</f>
        <v>20.536375</v>
      </c>
      <c r="H376" s="12"/>
      <c r="O376">
        <f>SUM(O374:O375)</f>
        <v>0.65215124600000007</v>
      </c>
      <c r="P376">
        <f>+O376*1.05</f>
        <v>0.68475880830000013</v>
      </c>
      <c r="Q376">
        <f>+P376/J373</f>
        <v>0.67932421458333347</v>
      </c>
    </row>
    <row r="377" spans="1:17">
      <c r="A377" s="19"/>
      <c r="B377" s="56" t="s">
        <v>1536</v>
      </c>
      <c r="C377" s="62">
        <v>0.33329999999999999</v>
      </c>
      <c r="D377" s="57" t="s">
        <v>190</v>
      </c>
      <c r="E377" s="61">
        <f>Materiales!$D$64</f>
        <v>101.69491525423729</v>
      </c>
      <c r="F377" s="61">
        <f>+E377*0.18</f>
        <v>18.305084745762709</v>
      </c>
      <c r="G377" s="17">
        <f>+C377*E377+C377*F377</f>
        <v>39.995999999999995</v>
      </c>
      <c r="H377" s="18"/>
    </row>
    <row r="378" spans="1:17">
      <c r="A378" s="19"/>
      <c r="B378" s="56" t="s">
        <v>1695</v>
      </c>
      <c r="C378" s="62">
        <v>1</v>
      </c>
      <c r="D378" s="57" t="s">
        <v>14</v>
      </c>
      <c r="E378" s="61">
        <v>95.64</v>
      </c>
      <c r="F378" s="61">
        <v>0</v>
      </c>
      <c r="G378" s="17">
        <f>+C378*E378+C378*F378</f>
        <v>95.64</v>
      </c>
      <c r="H378" s="12"/>
    </row>
    <row r="379" spans="1:17" ht="15.75" thickBot="1">
      <c r="A379" s="21"/>
      <c r="B379" s="22"/>
      <c r="C379" s="23"/>
      <c r="D379" s="24" t="s">
        <v>111</v>
      </c>
      <c r="E379" s="78"/>
      <c r="F379" s="79"/>
      <c r="G379" s="26">
        <f>SUM(G376:G378)</f>
        <v>156.17237499999999</v>
      </c>
      <c r="H379" s="27" t="s">
        <v>43</v>
      </c>
    </row>
    <row r="380" spans="1:17" ht="15.75" thickTop="1">
      <c r="B380" s="55"/>
    </row>
    <row r="381" spans="1:17">
      <c r="A381" s="64"/>
      <c r="B381" s="370" t="e">
        <f>#REF!</f>
        <v>#REF!</v>
      </c>
      <c r="C381" s="370"/>
      <c r="D381" s="370"/>
      <c r="E381" s="370"/>
      <c r="F381" s="370"/>
      <c r="G381" s="370"/>
      <c r="H381" s="370"/>
      <c r="J381">
        <v>1.008</v>
      </c>
    </row>
    <row r="382" spans="1:17">
      <c r="A382" s="6"/>
      <c r="B382" s="7"/>
      <c r="C382" s="8" t="s">
        <v>98</v>
      </c>
      <c r="D382" s="9" t="s">
        <v>39</v>
      </c>
      <c r="E382" s="74" t="s">
        <v>99</v>
      </c>
      <c r="F382" s="75" t="s">
        <v>100</v>
      </c>
      <c r="G382" s="11" t="s">
        <v>101</v>
      </c>
      <c r="H382" s="12"/>
      <c r="J382">
        <f>1.6/0.15</f>
        <v>10.666666666666668</v>
      </c>
      <c r="K382">
        <v>11</v>
      </c>
      <c r="L382">
        <v>1.4</v>
      </c>
      <c r="M382">
        <v>3.2810000000000001</v>
      </c>
      <c r="N382">
        <v>0.66700000000000004</v>
      </c>
      <c r="O382">
        <f>+K382*L382*M382*N382/100</f>
        <v>0.337017758</v>
      </c>
    </row>
    <row r="383" spans="1:17">
      <c r="A383" s="19"/>
      <c r="B383" s="56" t="s">
        <v>1535</v>
      </c>
      <c r="C383" s="65">
        <v>1.2500000000000001E-2</v>
      </c>
      <c r="D383" s="57" t="s">
        <v>20</v>
      </c>
      <c r="E383" s="61">
        <v>5853.6211864406787</v>
      </c>
      <c r="F383" s="61">
        <f>+E383*0.18</f>
        <v>1053.6518135593221</v>
      </c>
      <c r="G383" s="17">
        <f>+C383*E383+C383*F383</f>
        <v>86.340912500000016</v>
      </c>
      <c r="H383" s="12"/>
      <c r="O383">
        <f>SUM(O382:O382)</f>
        <v>0.337017758</v>
      </c>
      <c r="P383">
        <f>+O383*1.05</f>
        <v>0.3538686459</v>
      </c>
      <c r="Q383">
        <f>+P383/J381</f>
        <v>0.35106016458333333</v>
      </c>
    </row>
    <row r="384" spans="1:17">
      <c r="A384" s="19"/>
      <c r="B384" s="56" t="s">
        <v>1536</v>
      </c>
      <c r="C384" s="62">
        <v>0.33329999999999999</v>
      </c>
      <c r="D384" s="57" t="s">
        <v>190</v>
      </c>
      <c r="E384" s="61">
        <v>101.69</v>
      </c>
      <c r="F384" s="61">
        <v>18.3</v>
      </c>
      <c r="G384" s="17">
        <f>+C384*E384+C384*F384</f>
        <v>39.992666999999997</v>
      </c>
      <c r="H384" s="18"/>
    </row>
    <row r="385" spans="1:17">
      <c r="A385" s="19"/>
      <c r="B385" s="56" t="s">
        <v>1531</v>
      </c>
      <c r="C385" s="62">
        <v>1</v>
      </c>
      <c r="D385" s="57" t="s">
        <v>9</v>
      </c>
      <c r="E385" s="61">
        <v>35</v>
      </c>
      <c r="F385" s="61"/>
      <c r="G385" s="17">
        <f>+C385*E385+C385*F385</f>
        <v>35</v>
      </c>
      <c r="H385" s="18"/>
    </row>
    <row r="386" spans="1:17">
      <c r="A386" s="19"/>
      <c r="B386" s="56" t="s">
        <v>1691</v>
      </c>
      <c r="C386" s="62">
        <v>1</v>
      </c>
      <c r="D386" s="57" t="s">
        <v>43</v>
      </c>
      <c r="E386" s="61">
        <v>157.91</v>
      </c>
      <c r="F386" s="61">
        <v>0</v>
      </c>
      <c r="G386" s="17">
        <f>+C386*E386+C386*F386</f>
        <v>157.91</v>
      </c>
      <c r="H386" s="12"/>
    </row>
    <row r="387" spans="1:17" ht="15.75" thickBot="1">
      <c r="A387" s="21"/>
      <c r="B387" s="22"/>
      <c r="C387" s="23"/>
      <c r="D387" s="24" t="s">
        <v>111</v>
      </c>
      <c r="E387" s="78"/>
      <c r="F387" s="79"/>
      <c r="G387" s="26">
        <f>SUM(G383:G386)</f>
        <v>319.24357950000001</v>
      </c>
      <c r="H387" s="27" t="s">
        <v>43</v>
      </c>
    </row>
    <row r="388" spans="1:17" ht="15.75" thickTop="1">
      <c r="B388" s="55"/>
    </row>
    <row r="389" spans="1:17">
      <c r="A389" s="64"/>
      <c r="B389" s="370" t="e">
        <f>#REF!</f>
        <v>#REF!</v>
      </c>
      <c r="C389" s="370"/>
      <c r="D389" s="370"/>
      <c r="E389" s="370"/>
      <c r="F389" s="370"/>
      <c r="G389" s="370"/>
      <c r="H389" s="370"/>
      <c r="J389">
        <v>1.008</v>
      </c>
    </row>
    <row r="390" spans="1:17">
      <c r="A390" s="6"/>
      <c r="B390" s="7"/>
      <c r="C390" s="8" t="s">
        <v>98</v>
      </c>
      <c r="D390" s="9" t="s">
        <v>39</v>
      </c>
      <c r="E390" s="74" t="s">
        <v>99</v>
      </c>
      <c r="F390" s="75" t="s">
        <v>100</v>
      </c>
      <c r="G390" s="11" t="s">
        <v>101</v>
      </c>
      <c r="H390" s="12"/>
      <c r="J390">
        <f>1.6/0.15</f>
        <v>10.666666666666668</v>
      </c>
      <c r="K390">
        <v>11</v>
      </c>
      <c r="L390">
        <v>1.4</v>
      </c>
      <c r="M390">
        <v>3.2810000000000001</v>
      </c>
      <c r="N390">
        <v>0.66700000000000004</v>
      </c>
      <c r="O390">
        <f>+K390*L390*M390*N390/100</f>
        <v>0.337017758</v>
      </c>
    </row>
    <row r="391" spans="1:17">
      <c r="A391" s="19"/>
      <c r="B391" s="56" t="s">
        <v>1888</v>
      </c>
      <c r="C391" s="65">
        <v>1.1000000000000001</v>
      </c>
      <c r="D391" s="57" t="s">
        <v>21</v>
      </c>
      <c r="E391" s="61">
        <v>850</v>
      </c>
      <c r="F391" s="61"/>
      <c r="G391" s="17">
        <f>+C391*E391+C391*F391</f>
        <v>935.00000000000011</v>
      </c>
      <c r="H391" s="12"/>
      <c r="O391">
        <f>SUM(O390:O390)</f>
        <v>0.337017758</v>
      </c>
      <c r="P391">
        <f>+O391*1.05</f>
        <v>0.3538686459</v>
      </c>
      <c r="Q391">
        <f>+P391/J389</f>
        <v>0.35106016458333333</v>
      </c>
    </row>
    <row r="392" spans="1:17">
      <c r="A392" s="19"/>
      <c r="B392" s="56" t="s">
        <v>1889</v>
      </c>
      <c r="C392" s="62">
        <v>2.1000000000000001E-2</v>
      </c>
      <c r="D392" s="57" t="s">
        <v>106</v>
      </c>
      <c r="E392" s="61">
        <f>'Analisis Auxiliares'!$G$44</f>
        <v>6785.5</v>
      </c>
      <c r="F392" s="61"/>
      <c r="G392" s="17">
        <f>+C392*E392+C392*F392</f>
        <v>142.49550000000002</v>
      </c>
      <c r="H392" s="18"/>
    </row>
    <row r="393" spans="1:17">
      <c r="A393" s="19"/>
      <c r="B393" s="56" t="s">
        <v>1890</v>
      </c>
      <c r="C393" s="62">
        <v>1</v>
      </c>
      <c r="D393" s="57" t="s">
        <v>21</v>
      </c>
      <c r="E393" s="61">
        <v>500</v>
      </c>
      <c r="F393" s="61"/>
      <c r="G393" s="17">
        <f>+C393*E393+C393*F393</f>
        <v>500</v>
      </c>
      <c r="H393" s="18"/>
    </row>
    <row r="394" spans="1:17">
      <c r="A394" s="19"/>
      <c r="B394" s="56" t="s">
        <v>1891</v>
      </c>
      <c r="C394" s="62">
        <v>1</v>
      </c>
      <c r="D394" s="57" t="s">
        <v>43</v>
      </c>
      <c r="E394" s="61">
        <v>100</v>
      </c>
      <c r="F394" s="61">
        <v>0</v>
      </c>
      <c r="G394" s="17">
        <f>+C394*E394+C394*F394</f>
        <v>100</v>
      </c>
      <c r="H394" s="12"/>
    </row>
    <row r="395" spans="1:17">
      <c r="A395" s="19"/>
      <c r="B395" s="56" t="s">
        <v>1892</v>
      </c>
      <c r="C395" s="62">
        <v>3.3000000000000002E-2</v>
      </c>
      <c r="D395" s="57" t="s">
        <v>104</v>
      </c>
      <c r="E395" s="61">
        <f>600/1.18</f>
        <v>508.47457627118649</v>
      </c>
      <c r="F395" s="61">
        <f>+E395*0.18</f>
        <v>91.525423728813564</v>
      </c>
      <c r="G395" s="17">
        <f t="shared" ref="G395:G396" si="47">+C395*E395+C395*F395</f>
        <v>19.800000000000004</v>
      </c>
      <c r="H395" s="12"/>
    </row>
    <row r="396" spans="1:17">
      <c r="A396" s="19"/>
      <c r="B396" s="56" t="s">
        <v>1893</v>
      </c>
      <c r="C396" s="62">
        <v>1</v>
      </c>
      <c r="D396" s="57" t="s">
        <v>1712</v>
      </c>
      <c r="E396" s="61">
        <f>SUM(G391:G395)*0.02</f>
        <v>33.945910000000005</v>
      </c>
      <c r="F396" s="61"/>
      <c r="G396" s="17">
        <f t="shared" si="47"/>
        <v>33.945910000000005</v>
      </c>
      <c r="H396" s="12"/>
    </row>
    <row r="397" spans="1:17" ht="15.75" thickBot="1">
      <c r="A397" s="21"/>
      <c r="B397" s="22"/>
      <c r="C397" s="23"/>
      <c r="D397" s="24" t="s">
        <v>111</v>
      </c>
      <c r="E397" s="78"/>
      <c r="F397" s="79"/>
      <c r="G397" s="26">
        <f>SUM(G391:G396)</f>
        <v>1731.2414100000001</v>
      </c>
      <c r="H397" s="27" t="s">
        <v>21</v>
      </c>
    </row>
    <row r="398" spans="1:17" ht="15.75" thickTop="1">
      <c r="B398" s="55"/>
    </row>
    <row r="399" spans="1:17">
      <c r="A399" s="64"/>
      <c r="B399" s="370" t="e">
        <f>#REF!</f>
        <v>#REF!</v>
      </c>
      <c r="C399" s="370"/>
      <c r="D399" s="370"/>
      <c r="E399" s="370"/>
      <c r="F399" s="370"/>
      <c r="G399" s="370"/>
      <c r="H399" s="370"/>
      <c r="J399">
        <v>1.008</v>
      </c>
    </row>
    <row r="400" spans="1:17">
      <c r="A400" s="6"/>
      <c r="B400" s="7"/>
      <c r="C400" s="8" t="s">
        <v>98</v>
      </c>
      <c r="D400" s="9" t="s">
        <v>39</v>
      </c>
      <c r="E400" s="74" t="s">
        <v>99</v>
      </c>
      <c r="F400" s="75" t="s">
        <v>100</v>
      </c>
      <c r="G400" s="11" t="s">
        <v>101</v>
      </c>
      <c r="H400" s="12"/>
      <c r="J400">
        <f>1.6/0.15</f>
        <v>10.666666666666668</v>
      </c>
      <c r="K400">
        <v>11</v>
      </c>
      <c r="L400">
        <v>1.4</v>
      </c>
      <c r="M400">
        <v>3.2810000000000001</v>
      </c>
      <c r="N400">
        <v>0.66700000000000004</v>
      </c>
      <c r="O400">
        <f>+K400*L400*M400*N400/100</f>
        <v>0.337017758</v>
      </c>
    </row>
    <row r="401" spans="1:17">
      <c r="A401" s="19"/>
      <c r="B401" s="56" t="s">
        <v>1894</v>
      </c>
      <c r="C401" s="65">
        <v>4</v>
      </c>
      <c r="D401" s="57" t="s">
        <v>1895</v>
      </c>
      <c r="E401" s="61">
        <f>4000/1.18</f>
        <v>3389.8305084745766</v>
      </c>
      <c r="F401" s="61">
        <f>+E401*0.18</f>
        <v>610.16949152542372</v>
      </c>
      <c r="G401" s="17">
        <f>+C401*E401+C401*F401</f>
        <v>16000.000000000002</v>
      </c>
      <c r="H401" s="12"/>
      <c r="O401">
        <f>SUM(O400:O400)</f>
        <v>0.337017758</v>
      </c>
      <c r="P401">
        <f>+O401*1.05</f>
        <v>0.3538686459</v>
      </c>
      <c r="Q401">
        <f>+P401/J399</f>
        <v>0.35106016458333333</v>
      </c>
    </row>
    <row r="402" spans="1:17" ht="15.75" thickBot="1">
      <c r="A402" s="21"/>
      <c r="B402" s="22"/>
      <c r="C402" s="23"/>
      <c r="D402" s="24" t="s">
        <v>111</v>
      </c>
      <c r="E402" s="78"/>
      <c r="F402" s="79"/>
      <c r="G402" s="26">
        <f>SUM(G401:G401)</f>
        <v>16000.000000000002</v>
      </c>
      <c r="H402" s="27" t="s">
        <v>12</v>
      </c>
    </row>
    <row r="403" spans="1:17" ht="15.75" thickTop="1"/>
    <row r="404" spans="1:17" ht="15.75" thickTop="1">
      <c r="A404" s="53"/>
      <c r="B404" s="53" t="s">
        <v>27</v>
      </c>
      <c r="C404" s="54"/>
      <c r="D404" s="54"/>
      <c r="E404" s="72"/>
      <c r="F404" s="72"/>
      <c r="G404" s="54"/>
      <c r="H404" s="54"/>
    </row>
    <row r="405" spans="1:17">
      <c r="B405" s="55"/>
    </row>
    <row r="406" spans="1:17">
      <c r="A406" s="64"/>
      <c r="B406" s="370" t="e">
        <f>#REF!</f>
        <v>#REF!</v>
      </c>
      <c r="C406" s="370"/>
      <c r="D406" s="370"/>
      <c r="E406" s="370"/>
      <c r="F406" s="370"/>
      <c r="G406" s="370"/>
      <c r="H406" s="370"/>
      <c r="J406">
        <v>3.7499999999999999E-2</v>
      </c>
      <c r="K406">
        <v>26.666666666666668</v>
      </c>
    </row>
    <row r="407" spans="1:17">
      <c r="A407" s="6"/>
      <c r="B407" s="7"/>
      <c r="C407" s="8" t="s">
        <v>98</v>
      </c>
      <c r="D407" s="9" t="s">
        <v>39</v>
      </c>
      <c r="E407" s="74" t="s">
        <v>99</v>
      </c>
      <c r="F407" s="75" t="s">
        <v>100</v>
      </c>
      <c r="G407" s="11" t="s">
        <v>101</v>
      </c>
      <c r="H407" s="12"/>
      <c r="J407">
        <f>1.6/0.15</f>
        <v>10.666666666666668</v>
      </c>
      <c r="K407">
        <v>26.666699999999999</v>
      </c>
      <c r="L407">
        <v>4</v>
      </c>
      <c r="M407">
        <v>3.2810000000000001</v>
      </c>
      <c r="N407">
        <v>0.378</v>
      </c>
      <c r="O407">
        <f>+K407*L407*M407*N407/100</f>
        <v>1.3229008536239999</v>
      </c>
    </row>
    <row r="408" spans="1:17">
      <c r="A408" s="19"/>
      <c r="B408" s="56" t="s">
        <v>1836</v>
      </c>
      <c r="C408" s="62">
        <v>0.11</v>
      </c>
      <c r="D408" s="57" t="s">
        <v>1510</v>
      </c>
      <c r="E408" s="61">
        <f>Materiales!$D$104</f>
        <v>5084.7457627118647</v>
      </c>
      <c r="F408" s="61">
        <f t="shared" ref="F408:F410" si="48">+E408*0.18</f>
        <v>915.25423728813564</v>
      </c>
      <c r="G408" s="17">
        <f>+C408*E408+C408*F408</f>
        <v>660</v>
      </c>
      <c r="H408" s="12"/>
      <c r="J408">
        <f>+K407/0.25</f>
        <v>106.66679999999999</v>
      </c>
      <c r="K408">
        <v>107</v>
      </c>
      <c r="L408">
        <f>0.15*2+0.25*2</f>
        <v>0.8</v>
      </c>
      <c r="M408">
        <v>3.2810000000000001</v>
      </c>
      <c r="N408">
        <v>0.378</v>
      </c>
      <c r="O408">
        <f>+K408*L408*M408*N408/100</f>
        <v>1.0616266080000001</v>
      </c>
      <c r="P408">
        <f>+O408*1.05</f>
        <v>1.1147079384</v>
      </c>
      <c r="Q408">
        <f>+P408/J406</f>
        <v>29.725545024000002</v>
      </c>
    </row>
    <row r="409" spans="1:17">
      <c r="A409" s="19"/>
      <c r="B409" s="56" t="s">
        <v>1837</v>
      </c>
      <c r="C409" s="62">
        <v>1.0999999999999999E-2</v>
      </c>
      <c r="D409" s="57" t="s">
        <v>1519</v>
      </c>
      <c r="E409" s="61">
        <f>Materiales!$D$41</f>
        <v>8177.9661016949149</v>
      </c>
      <c r="F409" s="61">
        <f t="shared" si="48"/>
        <v>1472.0338983050847</v>
      </c>
      <c r="G409" s="17">
        <f>+C409*E409+C409*F409</f>
        <v>106.14999999999998</v>
      </c>
      <c r="H409" s="18"/>
      <c r="O409">
        <f>SUM(O407:O408)</f>
        <v>2.3845274616239998</v>
      </c>
      <c r="P409">
        <f>+O409*1.05</f>
        <v>2.5037538347051997</v>
      </c>
    </row>
    <row r="410" spans="1:17">
      <c r="A410" s="19"/>
      <c r="B410" s="56" t="s">
        <v>1514</v>
      </c>
      <c r="C410" s="62">
        <v>0.01</v>
      </c>
      <c r="D410" s="57" t="s">
        <v>1515</v>
      </c>
      <c r="E410" s="61">
        <f>Materiales!$D$50</f>
        <v>93.220338983050851</v>
      </c>
      <c r="F410" s="61">
        <f t="shared" si="48"/>
        <v>16.779661016949152</v>
      </c>
      <c r="G410" s="17">
        <f>+C410*E410+C410*F410</f>
        <v>1.1000000000000001</v>
      </c>
      <c r="H410" s="12"/>
    </row>
    <row r="411" spans="1:17">
      <c r="A411" s="19"/>
      <c r="B411" s="56" t="s">
        <v>1520</v>
      </c>
      <c r="C411" s="62">
        <v>1</v>
      </c>
      <c r="D411" s="57" t="s">
        <v>21</v>
      </c>
      <c r="E411" s="61">
        <v>36</v>
      </c>
      <c r="F411" s="61"/>
      <c r="G411" s="17">
        <f>+C411*E411+C411*F411</f>
        <v>36</v>
      </c>
      <c r="H411" s="12"/>
    </row>
    <row r="412" spans="1:17">
      <c r="A412" s="19"/>
      <c r="B412" s="56" t="s">
        <v>1546</v>
      </c>
      <c r="C412" s="62">
        <v>1</v>
      </c>
      <c r="D412" s="57" t="s">
        <v>21</v>
      </c>
      <c r="E412" s="61">
        <v>125</v>
      </c>
      <c r="F412" s="61"/>
      <c r="G412" s="17">
        <f>+C412*E412+C412*F412</f>
        <v>125</v>
      </c>
      <c r="H412" s="12"/>
    </row>
    <row r="413" spans="1:17" ht="15.75" thickBot="1">
      <c r="A413" s="21"/>
      <c r="B413" s="22"/>
      <c r="C413" s="23"/>
      <c r="D413" s="24" t="s">
        <v>111</v>
      </c>
      <c r="E413" s="78"/>
      <c r="F413" s="79"/>
      <c r="G413" s="26">
        <f>SUM(G408:G412)</f>
        <v>928.25</v>
      </c>
      <c r="H413" s="27" t="s">
        <v>21</v>
      </c>
    </row>
    <row r="414" spans="1:17" ht="15.75" thickTop="1">
      <c r="B414" s="55"/>
    </row>
    <row r="415" spans="1:17" ht="15.75" customHeight="1">
      <c r="A415" s="64"/>
      <c r="B415" s="370" t="e">
        <f>#REF!</f>
        <v>#REF!</v>
      </c>
      <c r="C415" s="370"/>
      <c r="D415" s="370"/>
      <c r="E415" s="370"/>
      <c r="F415" s="370"/>
      <c r="G415" s="370"/>
      <c r="H415" s="370"/>
      <c r="J415">
        <v>1.008</v>
      </c>
    </row>
    <row r="416" spans="1:17">
      <c r="A416" s="6"/>
      <c r="B416" s="7"/>
      <c r="C416" s="8" t="s">
        <v>98</v>
      </c>
      <c r="D416" s="9" t="s">
        <v>39</v>
      </c>
      <c r="E416" s="74" t="s">
        <v>99</v>
      </c>
      <c r="F416" s="75" t="s">
        <v>100</v>
      </c>
      <c r="G416" s="11" t="s">
        <v>101</v>
      </c>
      <c r="H416" s="12"/>
      <c r="J416">
        <f>1.6/0.15</f>
        <v>10.666666666666668</v>
      </c>
      <c r="K416">
        <v>11</v>
      </c>
      <c r="L416">
        <v>1.4</v>
      </c>
      <c r="M416">
        <v>3.2810000000000001</v>
      </c>
      <c r="N416">
        <v>0.66700000000000004</v>
      </c>
      <c r="O416">
        <f>+K416*L416*M416*N416/100</f>
        <v>0.337017758</v>
      </c>
    </row>
    <row r="417" spans="1:17">
      <c r="A417" s="19"/>
      <c r="B417" s="56" t="s">
        <v>1541</v>
      </c>
      <c r="C417" s="62">
        <v>3.465E-2</v>
      </c>
      <c r="D417" s="57" t="s">
        <v>20</v>
      </c>
      <c r="E417" s="61">
        <f>'Analisis Auxiliares'!$G$65</f>
        <v>4656.5</v>
      </c>
      <c r="F417" s="61"/>
      <c r="G417" s="17">
        <f>+C417*E417+C417*F417</f>
        <v>161.347725</v>
      </c>
      <c r="H417" s="12"/>
      <c r="O417">
        <f>SUM(O416:O416)</f>
        <v>0.337017758</v>
      </c>
      <c r="P417">
        <f>+O417*1.05</f>
        <v>0.3538686459</v>
      </c>
      <c r="Q417">
        <f>+P417/J415</f>
        <v>0.35106016458333333</v>
      </c>
    </row>
    <row r="418" spans="1:17">
      <c r="A418" s="19"/>
      <c r="B418" s="56" t="s">
        <v>1839</v>
      </c>
      <c r="C418" s="62">
        <v>1.1000000000000001</v>
      </c>
      <c r="D418" s="57" t="s">
        <v>9</v>
      </c>
      <c r="E418" s="61">
        <f>Materiales!$D$1287</f>
        <v>677.96610169491521</v>
      </c>
      <c r="F418" s="61">
        <f>+E418*0.18</f>
        <v>122.03389830508473</v>
      </c>
      <c r="G418" s="17">
        <f>+C418*E418+C418*F418</f>
        <v>880</v>
      </c>
      <c r="H418" s="18"/>
    </row>
    <row r="419" spans="1:17">
      <c r="A419" s="19"/>
      <c r="B419" s="56" t="s">
        <v>1542</v>
      </c>
      <c r="C419" s="62">
        <v>4.4999999999999998E-2</v>
      </c>
      <c r="D419" s="57" t="s">
        <v>129</v>
      </c>
      <c r="E419" s="61">
        <f>Materiales!$D$1303</f>
        <v>1016.9491525423729</v>
      </c>
      <c r="F419" s="61">
        <v>183.05</v>
      </c>
      <c r="G419" s="17">
        <f>+C419*E419+C419*F419</f>
        <v>53.999961864406771</v>
      </c>
      <c r="H419" s="12"/>
    </row>
    <row r="420" spans="1:17">
      <c r="A420" s="19"/>
      <c r="B420" s="56" t="s">
        <v>1543</v>
      </c>
      <c r="C420" s="62">
        <v>0.05</v>
      </c>
      <c r="D420" s="57" t="s">
        <v>178</v>
      </c>
      <c r="E420" s="61">
        <f>Materiales!$D$1299</f>
        <v>63.559322033898304</v>
      </c>
      <c r="F420" s="61">
        <v>11.44</v>
      </c>
      <c r="G420" s="17">
        <f t="shared" ref="G420:G423" si="49">+C420*E420+C420*F420</f>
        <v>3.7499661016949153</v>
      </c>
      <c r="H420" s="12"/>
    </row>
    <row r="421" spans="1:17">
      <c r="A421" s="19"/>
      <c r="B421" s="56" t="s">
        <v>1551</v>
      </c>
      <c r="C421" s="62">
        <v>3.33</v>
      </c>
      <c r="D421" s="57" t="s">
        <v>3</v>
      </c>
      <c r="E421" s="61">
        <v>35</v>
      </c>
      <c r="F421" s="61"/>
      <c r="G421" s="17">
        <f t="shared" si="49"/>
        <v>116.55</v>
      </c>
      <c r="H421" s="12"/>
    </row>
    <row r="422" spans="1:17">
      <c r="A422" s="19"/>
      <c r="B422" s="56" t="s">
        <v>1544</v>
      </c>
      <c r="C422" s="62">
        <v>1</v>
      </c>
      <c r="D422" s="57" t="s">
        <v>12</v>
      </c>
      <c r="E422" s="61">
        <f>+G418*0.03</f>
        <v>26.4</v>
      </c>
      <c r="F422" s="61">
        <v>0</v>
      </c>
      <c r="G422" s="17">
        <f t="shared" si="49"/>
        <v>26.4</v>
      </c>
      <c r="H422" s="12"/>
    </row>
    <row r="423" spans="1:17">
      <c r="A423" s="19"/>
      <c r="B423" s="56" t="s">
        <v>1838</v>
      </c>
      <c r="C423" s="62">
        <v>1</v>
      </c>
      <c r="D423" s="57" t="s">
        <v>9</v>
      </c>
      <c r="E423" s="61">
        <v>321.58</v>
      </c>
      <c r="F423" s="61"/>
      <c r="G423" s="17">
        <f t="shared" si="49"/>
        <v>321.58</v>
      </c>
      <c r="H423" s="12"/>
    </row>
    <row r="424" spans="1:17" ht="15.75" thickBot="1">
      <c r="A424" s="21"/>
      <c r="B424" s="22"/>
      <c r="C424" s="23"/>
      <c r="D424" s="24" t="s">
        <v>111</v>
      </c>
      <c r="E424" s="78"/>
      <c r="F424" s="79"/>
      <c r="G424" s="26">
        <f>SUM(G417:G423)</f>
        <v>1563.6276529661018</v>
      </c>
      <c r="H424" s="27" t="s">
        <v>21</v>
      </c>
    </row>
    <row r="425" spans="1:17" ht="15.75" thickTop="1">
      <c r="B425" s="55"/>
    </row>
    <row r="426" spans="1:17" ht="15.75" customHeight="1">
      <c r="A426" s="64"/>
      <c r="B426" s="370" t="e">
        <f>#REF!</f>
        <v>#REF!</v>
      </c>
      <c r="C426" s="370"/>
      <c r="D426" s="370"/>
      <c r="E426" s="370"/>
      <c r="F426" s="370"/>
      <c r="G426" s="370"/>
      <c r="H426" s="370"/>
      <c r="J426">
        <v>1.008</v>
      </c>
    </row>
    <row r="427" spans="1:17">
      <c r="A427" s="6"/>
      <c r="B427" s="7"/>
      <c r="C427" s="8" t="s">
        <v>98</v>
      </c>
      <c r="D427" s="9" t="s">
        <v>39</v>
      </c>
      <c r="E427" s="74" t="s">
        <v>99</v>
      </c>
      <c r="F427" s="75" t="s">
        <v>100</v>
      </c>
      <c r="G427" s="11" t="s">
        <v>101</v>
      </c>
      <c r="H427" s="12"/>
      <c r="J427">
        <f>1.6/0.15</f>
        <v>10.666666666666668</v>
      </c>
      <c r="K427">
        <v>11</v>
      </c>
      <c r="L427">
        <v>1.4</v>
      </c>
      <c r="M427">
        <v>3.2810000000000001</v>
      </c>
      <c r="N427">
        <v>0.66700000000000004</v>
      </c>
      <c r="O427">
        <f>+K427*L427*M427*N427/100</f>
        <v>0.337017758</v>
      </c>
    </row>
    <row r="428" spans="1:17">
      <c r="A428" s="19"/>
      <c r="B428" s="56" t="s">
        <v>1541</v>
      </c>
      <c r="C428" s="62">
        <v>3.465E-2</v>
      </c>
      <c r="D428" s="57" t="s">
        <v>20</v>
      </c>
      <c r="E428" s="61">
        <f>'Analisis Auxiliares'!$G$65</f>
        <v>4656.5</v>
      </c>
      <c r="F428" s="61"/>
      <c r="G428" s="17">
        <f>+C428*E428+C428*F428</f>
        <v>161.347725</v>
      </c>
      <c r="H428" s="12"/>
      <c r="O428">
        <f>SUM(O427:O427)</f>
        <v>0.337017758</v>
      </c>
      <c r="P428">
        <f>+O428*1.05</f>
        <v>0.3538686459</v>
      </c>
      <c r="Q428">
        <f>+P428/J426</f>
        <v>0.35106016458333333</v>
      </c>
    </row>
    <row r="429" spans="1:17">
      <c r="A429" s="19"/>
      <c r="B429" s="56" t="s">
        <v>1840</v>
      </c>
      <c r="C429" s="62">
        <v>1.1000000000000001</v>
      </c>
      <c r="D429" s="57" t="s">
        <v>9</v>
      </c>
      <c r="E429" s="61">
        <f>1050/1.18</f>
        <v>889.83050847457628</v>
      </c>
      <c r="F429" s="61">
        <f>+E429*0.18</f>
        <v>160.16949152542372</v>
      </c>
      <c r="G429" s="17">
        <f>+C429*E429+C429*F429</f>
        <v>1155</v>
      </c>
      <c r="H429" s="18"/>
    </row>
    <row r="430" spans="1:17">
      <c r="A430" s="19"/>
      <c r="B430" s="56" t="s">
        <v>1542</v>
      </c>
      <c r="C430" s="62">
        <v>4.4999999999999998E-2</v>
      </c>
      <c r="D430" s="57" t="s">
        <v>129</v>
      </c>
      <c r="E430" s="61">
        <f>Materiales!$D$1303</f>
        <v>1016.9491525423729</v>
      </c>
      <c r="F430" s="61">
        <v>183.05</v>
      </c>
      <c r="G430" s="17">
        <f>+C430*E430+C430*F430</f>
        <v>53.999961864406771</v>
      </c>
      <c r="H430" s="12"/>
    </row>
    <row r="431" spans="1:17">
      <c r="A431" s="19"/>
      <c r="B431" s="56" t="s">
        <v>1543</v>
      </c>
      <c r="C431" s="62">
        <v>0.05</v>
      </c>
      <c r="D431" s="57" t="s">
        <v>178</v>
      </c>
      <c r="E431" s="61">
        <f>Materiales!$D$1299</f>
        <v>63.559322033898304</v>
      </c>
      <c r="F431" s="61">
        <v>11.44</v>
      </c>
      <c r="G431" s="17">
        <f t="shared" ref="G431:G434" si="50">+C431*E431+C431*F431</f>
        <v>3.7499661016949153</v>
      </c>
      <c r="H431" s="12"/>
    </row>
    <row r="432" spans="1:17">
      <c r="A432" s="19"/>
      <c r="B432" s="56" t="s">
        <v>1843</v>
      </c>
      <c r="C432" s="62">
        <v>3.33</v>
      </c>
      <c r="D432" s="57" t="s">
        <v>3</v>
      </c>
      <c r="E432" s="61">
        <v>35</v>
      </c>
      <c r="F432" s="61"/>
      <c r="G432" s="17">
        <f t="shared" si="50"/>
        <v>116.55</v>
      </c>
      <c r="H432" s="12"/>
    </row>
    <row r="433" spans="1:17">
      <c r="A433" s="19"/>
      <c r="B433" s="56" t="s">
        <v>1544</v>
      </c>
      <c r="C433" s="62">
        <v>1</v>
      </c>
      <c r="D433" s="57" t="s">
        <v>12</v>
      </c>
      <c r="E433" s="61">
        <f>+G429*0.03</f>
        <v>34.65</v>
      </c>
      <c r="F433" s="61">
        <v>0</v>
      </c>
      <c r="G433" s="17">
        <f t="shared" si="50"/>
        <v>34.65</v>
      </c>
      <c r="H433" s="12"/>
    </row>
    <row r="434" spans="1:17">
      <c r="A434" s="19"/>
      <c r="B434" s="56" t="s">
        <v>1838</v>
      </c>
      <c r="C434" s="62">
        <v>1</v>
      </c>
      <c r="D434" s="57" t="s">
        <v>9</v>
      </c>
      <c r="E434" s="61">
        <v>321.58</v>
      </c>
      <c r="F434" s="61"/>
      <c r="G434" s="17">
        <f t="shared" si="50"/>
        <v>321.58</v>
      </c>
      <c r="H434" s="12"/>
    </row>
    <row r="435" spans="1:17" ht="15.75" thickBot="1">
      <c r="A435" s="21"/>
      <c r="B435" s="22"/>
      <c r="C435" s="23"/>
      <c r="D435" s="24" t="s">
        <v>111</v>
      </c>
      <c r="E435" s="78"/>
      <c r="F435" s="79"/>
      <c r="G435" s="26">
        <f>SUM(G428:G434)</f>
        <v>1846.8776529661018</v>
      </c>
      <c r="H435" s="27" t="s">
        <v>21</v>
      </c>
    </row>
    <row r="436" spans="1:17" ht="15.75" thickTop="1">
      <c r="B436" s="55"/>
    </row>
    <row r="437" spans="1:17" ht="15.75" customHeight="1">
      <c r="A437" s="64"/>
      <c r="B437" s="370" t="e">
        <f>#REF!</f>
        <v>#REF!</v>
      </c>
      <c r="C437" s="370"/>
      <c r="D437" s="370"/>
      <c r="E437" s="370"/>
      <c r="F437" s="370"/>
      <c r="G437" s="370"/>
      <c r="H437" s="370"/>
      <c r="J437">
        <v>1.008</v>
      </c>
    </row>
    <row r="438" spans="1:17">
      <c r="A438" s="6"/>
      <c r="B438" s="7"/>
      <c r="C438" s="8" t="s">
        <v>98</v>
      </c>
      <c r="D438" s="9" t="s">
        <v>39</v>
      </c>
      <c r="E438" s="74" t="s">
        <v>99</v>
      </c>
      <c r="F438" s="75" t="s">
        <v>100</v>
      </c>
      <c r="G438" s="11" t="s">
        <v>101</v>
      </c>
      <c r="H438" s="12"/>
      <c r="J438">
        <f>1.6/0.15</f>
        <v>10.666666666666668</v>
      </c>
      <c r="K438">
        <v>11</v>
      </c>
      <c r="L438">
        <v>1.4</v>
      </c>
      <c r="M438">
        <v>3.2810000000000001</v>
      </c>
      <c r="N438">
        <v>0.66700000000000004</v>
      </c>
      <c r="O438">
        <f>+K438*L438*M438*N438/100</f>
        <v>0.337017758</v>
      </c>
    </row>
    <row r="439" spans="1:17">
      <c r="A439" s="19"/>
      <c r="B439" s="56" t="s">
        <v>1541</v>
      </c>
      <c r="C439" s="62">
        <v>3.465E-2</v>
      </c>
      <c r="D439" s="57" t="s">
        <v>20</v>
      </c>
      <c r="E439" s="61">
        <f>'Analisis Auxiliares'!$G$65</f>
        <v>4656.5</v>
      </c>
      <c r="F439" s="61"/>
      <c r="G439" s="17">
        <f>+C439*E439+C439*F439</f>
        <v>161.347725</v>
      </c>
      <c r="H439" s="12"/>
      <c r="O439">
        <f>SUM(O438:O438)</f>
        <v>0.337017758</v>
      </c>
      <c r="P439">
        <f>+O439*1.05</f>
        <v>0.3538686459</v>
      </c>
      <c r="Q439">
        <f>+P439/J437</f>
        <v>0.35106016458333333</v>
      </c>
    </row>
    <row r="440" spans="1:17">
      <c r="A440" s="19"/>
      <c r="B440" s="56" t="s">
        <v>1841</v>
      </c>
      <c r="C440" s="62">
        <v>1.1000000000000001</v>
      </c>
      <c r="D440" s="57" t="s">
        <v>9</v>
      </c>
      <c r="E440" s="61">
        <f>700/1.18</f>
        <v>593.22033898305085</v>
      </c>
      <c r="F440" s="61">
        <f>+E440*0.18</f>
        <v>106.77966101694915</v>
      </c>
      <c r="G440" s="17">
        <f>+C440*E440+C440*F440</f>
        <v>770</v>
      </c>
      <c r="H440" s="18"/>
    </row>
    <row r="441" spans="1:17">
      <c r="A441" s="19"/>
      <c r="B441" s="56" t="s">
        <v>1542</v>
      </c>
      <c r="C441" s="62">
        <v>4.4999999999999998E-2</v>
      </c>
      <c r="D441" s="57" t="s">
        <v>129</v>
      </c>
      <c r="E441" s="61">
        <f>Materiales!$D$1303</f>
        <v>1016.9491525423729</v>
      </c>
      <c r="F441" s="61">
        <v>183.05</v>
      </c>
      <c r="G441" s="17">
        <f>+C441*E441+C441*F441</f>
        <v>53.999961864406771</v>
      </c>
      <c r="H441" s="12"/>
    </row>
    <row r="442" spans="1:17">
      <c r="A442" s="19"/>
      <c r="B442" s="56" t="s">
        <v>1543</v>
      </c>
      <c r="C442" s="62">
        <v>0.05</v>
      </c>
      <c r="D442" s="57" t="s">
        <v>178</v>
      </c>
      <c r="E442" s="61">
        <f>Materiales!$D$1299</f>
        <v>63.559322033898304</v>
      </c>
      <c r="F442" s="61">
        <v>11.44</v>
      </c>
      <c r="G442" s="17">
        <f t="shared" ref="G442:G445" si="51">+C442*E442+C442*F442</f>
        <v>3.7499661016949153</v>
      </c>
      <c r="H442" s="12"/>
    </row>
    <row r="443" spans="1:17">
      <c r="A443" s="19"/>
      <c r="B443" s="56" t="s">
        <v>1842</v>
      </c>
      <c r="C443" s="62">
        <v>3.33</v>
      </c>
      <c r="D443" s="57" t="s">
        <v>3</v>
      </c>
      <c r="E443" s="61">
        <v>35</v>
      </c>
      <c r="F443" s="61"/>
      <c r="G443" s="17">
        <f t="shared" si="51"/>
        <v>116.55</v>
      </c>
      <c r="H443" s="12"/>
    </row>
    <row r="444" spans="1:17">
      <c r="A444" s="19"/>
      <c r="B444" s="56" t="s">
        <v>1544</v>
      </c>
      <c r="C444" s="62">
        <v>1</v>
      </c>
      <c r="D444" s="57" t="s">
        <v>12</v>
      </c>
      <c r="E444" s="61">
        <f>+G440*0.03</f>
        <v>23.099999999999998</v>
      </c>
      <c r="F444" s="61">
        <v>0</v>
      </c>
      <c r="G444" s="17">
        <f t="shared" si="51"/>
        <v>23.099999999999998</v>
      </c>
      <c r="H444" s="12"/>
    </row>
    <row r="445" spans="1:17">
      <c r="A445" s="19"/>
      <c r="B445" s="56" t="s">
        <v>1838</v>
      </c>
      <c r="C445" s="62">
        <v>1</v>
      </c>
      <c r="D445" s="57" t="s">
        <v>9</v>
      </c>
      <c r="E445" s="61">
        <v>321.58</v>
      </c>
      <c r="F445" s="61"/>
      <c r="G445" s="17">
        <f t="shared" si="51"/>
        <v>321.58</v>
      </c>
      <c r="H445" s="12"/>
    </row>
    <row r="446" spans="1:17" ht="15.75" thickBot="1">
      <c r="A446" s="21"/>
      <c r="B446" s="22"/>
      <c r="C446" s="23"/>
      <c r="D446" s="24" t="s">
        <v>111</v>
      </c>
      <c r="E446" s="78"/>
      <c r="F446" s="79"/>
      <c r="G446" s="26">
        <f>SUM(G439:G445)</f>
        <v>1450.3276529661016</v>
      </c>
      <c r="H446" s="27" t="s">
        <v>21</v>
      </c>
    </row>
    <row r="447" spans="1:17" ht="15.75" thickTop="1">
      <c r="B447" s="55"/>
    </row>
    <row r="448" spans="1:17">
      <c r="A448" s="64"/>
      <c r="B448" s="370" t="e">
        <f>#REF!</f>
        <v>#REF!</v>
      </c>
      <c r="C448" s="370"/>
      <c r="D448" s="370"/>
      <c r="E448" s="370"/>
      <c r="F448" s="370"/>
      <c r="G448" s="370"/>
      <c r="H448" s="370"/>
      <c r="J448">
        <v>1.008</v>
      </c>
    </row>
    <row r="449" spans="1:17">
      <c r="A449" s="6"/>
      <c r="B449" s="7"/>
      <c r="C449" s="8" t="s">
        <v>98</v>
      </c>
      <c r="D449" s="9" t="s">
        <v>39</v>
      </c>
      <c r="E449" s="74" t="s">
        <v>99</v>
      </c>
      <c r="F449" s="75" t="s">
        <v>100</v>
      </c>
      <c r="G449" s="11" t="s">
        <v>101</v>
      </c>
      <c r="H449" s="12"/>
      <c r="J449">
        <f>1.6/0.15</f>
        <v>10.666666666666668</v>
      </c>
      <c r="K449">
        <v>11</v>
      </c>
      <c r="L449">
        <v>1.4</v>
      </c>
      <c r="M449">
        <v>3.2810000000000001</v>
      </c>
      <c r="N449">
        <v>0.66700000000000004</v>
      </c>
      <c r="O449">
        <f>+K449*L449*M449*N449/100</f>
        <v>0.337017758</v>
      </c>
    </row>
    <row r="450" spans="1:17">
      <c r="A450" s="19"/>
      <c r="B450" s="56" t="s">
        <v>1541</v>
      </c>
      <c r="C450" s="65">
        <v>2.3999999999999998E-3</v>
      </c>
      <c r="D450" s="57" t="s">
        <v>20</v>
      </c>
      <c r="E450" s="61">
        <f>'Analisis Auxiliares'!$G$65</f>
        <v>4656.5</v>
      </c>
      <c r="F450" s="61"/>
      <c r="G450" s="17">
        <f>+C450*E450+C450*F450</f>
        <v>11.175599999999999</v>
      </c>
      <c r="H450" s="12"/>
      <c r="O450">
        <f>SUM(O449:O449)</f>
        <v>0.337017758</v>
      </c>
      <c r="P450">
        <f>+O450*1.05</f>
        <v>0.3538686459</v>
      </c>
      <c r="Q450">
        <f>+P450/J448</f>
        <v>0.35106016458333333</v>
      </c>
    </row>
    <row r="451" spans="1:17">
      <c r="A451" s="19"/>
      <c r="B451" s="56" t="s">
        <v>1839</v>
      </c>
      <c r="C451" s="65">
        <v>0.05</v>
      </c>
      <c r="D451" s="57" t="s">
        <v>9</v>
      </c>
      <c r="E451" s="61">
        <f>Materiales!$D$1287</f>
        <v>677.96610169491521</v>
      </c>
      <c r="F451" s="61">
        <f>+E451*0.18</f>
        <v>122.03389830508473</v>
      </c>
      <c r="G451" s="17">
        <f>+C451*E451+C451*F451</f>
        <v>40</v>
      </c>
      <c r="H451" s="18"/>
    </row>
    <row r="452" spans="1:17">
      <c r="A452" s="19"/>
      <c r="B452" s="56" t="s">
        <v>1542</v>
      </c>
      <c r="C452" s="65">
        <v>3.0000000000000001E-3</v>
      </c>
      <c r="D452" s="57" t="s">
        <v>129</v>
      </c>
      <c r="E452" s="61">
        <f>Materiales!$D$1303</f>
        <v>1016.9491525423729</v>
      </c>
      <c r="F452" s="61">
        <v>183.05</v>
      </c>
      <c r="G452" s="17">
        <f>+C452*E452+C452*F452</f>
        <v>3.5999974576271185</v>
      </c>
      <c r="H452" s="12"/>
    </row>
    <row r="453" spans="1:17">
      <c r="A453" s="19"/>
      <c r="B453" s="56" t="s">
        <v>1543</v>
      </c>
      <c r="C453" s="62">
        <v>3.0000000000000001E-3</v>
      </c>
      <c r="D453" s="57" t="s">
        <v>178</v>
      </c>
      <c r="E453" s="61">
        <f>Materiales!$D$1299</f>
        <v>63.559322033898304</v>
      </c>
      <c r="F453" s="61">
        <v>11.44</v>
      </c>
      <c r="G453" s="17">
        <f t="shared" ref="G453:G456" si="52">+C453*E453+C453*F453</f>
        <v>0.2249979661016949</v>
      </c>
      <c r="H453" s="12"/>
    </row>
    <row r="454" spans="1:17">
      <c r="A454" s="19"/>
      <c r="B454" s="56" t="s">
        <v>1551</v>
      </c>
      <c r="C454" s="62">
        <v>3.33</v>
      </c>
      <c r="D454" s="57" t="s">
        <v>3</v>
      </c>
      <c r="E454" s="61">
        <v>29.66</v>
      </c>
      <c r="F454" s="61">
        <v>5.34</v>
      </c>
      <c r="G454" s="17">
        <f t="shared" si="52"/>
        <v>116.55000000000001</v>
      </c>
      <c r="H454" s="12"/>
    </row>
    <row r="455" spans="1:17">
      <c r="A455" s="19"/>
      <c r="B455" s="56" t="s">
        <v>1544</v>
      </c>
      <c r="C455" s="62">
        <v>1</v>
      </c>
      <c r="D455" s="57" t="s">
        <v>12</v>
      </c>
      <c r="E455" s="61">
        <f>+G451*0.03</f>
        <v>1.2</v>
      </c>
      <c r="F455" s="61">
        <v>0</v>
      </c>
      <c r="G455" s="17">
        <f t="shared" si="52"/>
        <v>1.2</v>
      </c>
      <c r="H455" s="12"/>
    </row>
    <row r="456" spans="1:17">
      <c r="A456" s="19"/>
      <c r="B456" s="56" t="s">
        <v>1545</v>
      </c>
      <c r="C456" s="62">
        <v>1</v>
      </c>
      <c r="D456" s="57" t="s">
        <v>14</v>
      </c>
      <c r="E456" s="61">
        <v>108.15</v>
      </c>
      <c r="F456" s="61"/>
      <c r="G456" s="17">
        <f t="shared" si="52"/>
        <v>108.15</v>
      </c>
      <c r="H456" s="12"/>
    </row>
    <row r="457" spans="1:17" ht="15.75" thickBot="1">
      <c r="A457" s="21"/>
      <c r="B457" s="22"/>
      <c r="C457" s="23"/>
      <c r="D457" s="24" t="s">
        <v>111</v>
      </c>
      <c r="E457" s="78"/>
      <c r="F457" s="79"/>
      <c r="G457" s="26">
        <f>SUM(G450:G456)</f>
        <v>280.90059542372882</v>
      </c>
      <c r="H457" s="27" t="s">
        <v>43</v>
      </c>
    </row>
    <row r="458" spans="1:17" ht="15.75" thickTop="1">
      <c r="B458" s="55"/>
    </row>
    <row r="459" spans="1:17">
      <c r="A459" s="64"/>
      <c r="B459" s="370" t="e">
        <f>#REF!</f>
        <v>#REF!</v>
      </c>
      <c r="C459" s="370"/>
      <c r="D459" s="370"/>
      <c r="E459" s="370"/>
      <c r="F459" s="370"/>
      <c r="G459" s="370"/>
      <c r="H459" s="370"/>
      <c r="J459">
        <v>1.008</v>
      </c>
    </row>
    <row r="460" spans="1:17">
      <c r="A460" s="6"/>
      <c r="B460" s="7"/>
      <c r="C460" s="8" t="s">
        <v>98</v>
      </c>
      <c r="D460" s="9" t="s">
        <v>39</v>
      </c>
      <c r="E460" s="74" t="s">
        <v>99</v>
      </c>
      <c r="F460" s="75" t="s">
        <v>100</v>
      </c>
      <c r="G460" s="11" t="s">
        <v>101</v>
      </c>
      <c r="H460" s="12"/>
      <c r="J460">
        <f>1.6/0.15</f>
        <v>10.666666666666668</v>
      </c>
      <c r="K460">
        <v>11</v>
      </c>
      <c r="L460">
        <v>1.4</v>
      </c>
      <c r="M460">
        <v>3.2810000000000001</v>
      </c>
      <c r="N460">
        <v>0.66700000000000004</v>
      </c>
      <c r="O460">
        <f>+K460*L460*M460*N460/100</f>
        <v>0.337017758</v>
      </c>
    </row>
    <row r="461" spans="1:17">
      <c r="A461" s="19"/>
      <c r="B461" s="56" t="s">
        <v>1541</v>
      </c>
      <c r="C461" s="65">
        <v>2.3999999999999998E-3</v>
      </c>
      <c r="D461" s="57" t="s">
        <v>20</v>
      </c>
      <c r="E461" s="61">
        <f>'Analisis Auxiliares'!$G$65</f>
        <v>4656.5</v>
      </c>
      <c r="F461" s="61"/>
      <c r="G461" s="17">
        <f>+C461*E461+C461*F461</f>
        <v>11.175599999999999</v>
      </c>
      <c r="H461" s="12"/>
      <c r="O461">
        <f>SUM(O460:O460)</f>
        <v>0.337017758</v>
      </c>
      <c r="P461">
        <f>+O461*1.05</f>
        <v>0.3538686459</v>
      </c>
      <c r="Q461">
        <f>+P461/J459</f>
        <v>0.35106016458333333</v>
      </c>
    </row>
    <row r="462" spans="1:17">
      <c r="A462" s="19"/>
      <c r="B462" s="56" t="s">
        <v>1840</v>
      </c>
      <c r="C462" s="65">
        <v>0.05</v>
      </c>
      <c r="D462" s="57" t="s">
        <v>9</v>
      </c>
      <c r="E462" s="61">
        <f>Materiales!$D$1303</f>
        <v>1016.9491525423729</v>
      </c>
      <c r="F462" s="61">
        <f>+E462*0.18</f>
        <v>183.0508474576271</v>
      </c>
      <c r="G462" s="17">
        <f>+C462*E462+C462*F462</f>
        <v>60</v>
      </c>
      <c r="H462" s="18"/>
    </row>
    <row r="463" spans="1:17">
      <c r="A463" s="19"/>
      <c r="B463" s="56" t="s">
        <v>1542</v>
      </c>
      <c r="C463" s="65">
        <v>3.0000000000000001E-3</v>
      </c>
      <c r="D463" s="57" t="s">
        <v>129</v>
      </c>
      <c r="E463" s="61">
        <f>Materiales!$D$1303</f>
        <v>1016.9491525423729</v>
      </c>
      <c r="F463" s="61">
        <v>183.05</v>
      </c>
      <c r="G463" s="17">
        <f>+C463*E463+C463*F463</f>
        <v>3.5999974576271185</v>
      </c>
      <c r="H463" s="12"/>
    </row>
    <row r="464" spans="1:17">
      <c r="A464" s="19"/>
      <c r="B464" s="56" t="s">
        <v>1543</v>
      </c>
      <c r="C464" s="62">
        <v>3.0000000000000001E-3</v>
      </c>
      <c r="D464" s="57" t="s">
        <v>178</v>
      </c>
      <c r="E464" s="61">
        <f>Materiales!$D$1299</f>
        <v>63.559322033898304</v>
      </c>
      <c r="F464" s="61">
        <v>11.44</v>
      </c>
      <c r="G464" s="17">
        <f t="shared" ref="G464:G467" si="53">+C464*E464+C464*F464</f>
        <v>0.2249979661016949</v>
      </c>
      <c r="H464" s="12"/>
    </row>
    <row r="465" spans="1:17">
      <c r="A465" s="19"/>
      <c r="B465" s="56" t="s">
        <v>1551</v>
      </c>
      <c r="C465" s="62">
        <v>3.33</v>
      </c>
      <c r="D465" s="57" t="s">
        <v>3</v>
      </c>
      <c r="E465" s="61">
        <v>29.66</v>
      </c>
      <c r="F465" s="61">
        <v>5.34</v>
      </c>
      <c r="G465" s="17">
        <f t="shared" si="53"/>
        <v>116.55000000000001</v>
      </c>
      <c r="H465" s="12"/>
    </row>
    <row r="466" spans="1:17">
      <c r="A466" s="19"/>
      <c r="B466" s="56" t="s">
        <v>1544</v>
      </c>
      <c r="C466" s="62">
        <v>1</v>
      </c>
      <c r="D466" s="57" t="s">
        <v>12</v>
      </c>
      <c r="E466" s="61">
        <f>+G462*0.03</f>
        <v>1.7999999999999998</v>
      </c>
      <c r="F466" s="61">
        <v>0</v>
      </c>
      <c r="G466" s="17">
        <f t="shared" si="53"/>
        <v>1.7999999999999998</v>
      </c>
      <c r="H466" s="12"/>
    </row>
    <row r="467" spans="1:17">
      <c r="A467" s="19"/>
      <c r="B467" s="56" t="s">
        <v>1545</v>
      </c>
      <c r="C467" s="62">
        <v>1</v>
      </c>
      <c r="D467" s="57" t="s">
        <v>14</v>
      </c>
      <c r="E467" s="61">
        <v>108.15</v>
      </c>
      <c r="F467" s="61"/>
      <c r="G467" s="17">
        <f t="shared" si="53"/>
        <v>108.15</v>
      </c>
      <c r="H467" s="12"/>
    </row>
    <row r="468" spans="1:17" ht="15.75" thickBot="1">
      <c r="A468" s="21"/>
      <c r="B468" s="22"/>
      <c r="C468" s="23"/>
      <c r="D468" s="24" t="s">
        <v>111</v>
      </c>
      <c r="E468" s="78"/>
      <c r="F468" s="79"/>
      <c r="G468" s="26">
        <f>SUM(G461:G467)</f>
        <v>301.5005954237289</v>
      </c>
      <c r="H468" s="27" t="s">
        <v>43</v>
      </c>
    </row>
    <row r="469" spans="1:17" ht="15.75" thickTop="1">
      <c r="B469" s="55"/>
    </row>
    <row r="470" spans="1:17">
      <c r="A470" s="64"/>
      <c r="B470" s="370" t="e">
        <f>#REF!</f>
        <v>#REF!</v>
      </c>
      <c r="C470" s="370"/>
      <c r="D470" s="370"/>
      <c r="E470" s="370"/>
      <c r="F470" s="370"/>
      <c r="G470" s="370"/>
      <c r="H470" s="370"/>
      <c r="J470">
        <v>1.008</v>
      </c>
    </row>
    <row r="471" spans="1:17">
      <c r="A471" s="6"/>
      <c r="B471" s="7"/>
      <c r="C471" s="8" t="s">
        <v>98</v>
      </c>
      <c r="D471" s="9" t="s">
        <v>39</v>
      </c>
      <c r="E471" s="74" t="s">
        <v>99</v>
      </c>
      <c r="F471" s="75" t="s">
        <v>100</v>
      </c>
      <c r="G471" s="11" t="s">
        <v>101</v>
      </c>
      <c r="H471" s="12"/>
      <c r="J471">
        <f>1.6/0.15</f>
        <v>10.666666666666668</v>
      </c>
      <c r="K471">
        <v>11</v>
      </c>
      <c r="L471">
        <v>1.4</v>
      </c>
      <c r="M471">
        <v>3.2810000000000001</v>
      </c>
      <c r="N471">
        <v>0.66700000000000004</v>
      </c>
      <c r="O471">
        <f>+K471*L471*M471*N471/100</f>
        <v>0.337017758</v>
      </c>
    </row>
    <row r="472" spans="1:17">
      <c r="A472" s="19"/>
      <c r="B472" s="56" t="s">
        <v>1538</v>
      </c>
      <c r="C472" s="62">
        <v>0.06</v>
      </c>
      <c r="D472" s="57" t="s">
        <v>153</v>
      </c>
      <c r="E472" s="61">
        <f>Materiales!$D$301</f>
        <v>2862.7118644067796</v>
      </c>
      <c r="F472" s="61">
        <f>+E472*0.18</f>
        <v>515.28813559322032</v>
      </c>
      <c r="G472" s="17">
        <f t="shared" ref="G472:G475" si="54">+C472*E472+C472*F472</f>
        <v>202.67999999999998</v>
      </c>
      <c r="H472" s="12"/>
      <c r="O472">
        <f>SUM(O471:O471)</f>
        <v>0.337017758</v>
      </c>
      <c r="P472">
        <f>+O472*1.05</f>
        <v>0.3538686459</v>
      </c>
      <c r="Q472">
        <f>+P472/J470</f>
        <v>0.35106016458333333</v>
      </c>
    </row>
    <row r="473" spans="1:17">
      <c r="A473" s="19"/>
      <c r="B473" s="56" t="s">
        <v>1844</v>
      </c>
      <c r="C473" s="62">
        <v>0.12</v>
      </c>
      <c r="D473" s="57" t="s">
        <v>153</v>
      </c>
      <c r="E473" s="61">
        <f>Materiales!$D$310</f>
        <v>338.9830508474576</v>
      </c>
      <c r="F473" s="61"/>
      <c r="G473" s="17">
        <f t="shared" si="54"/>
        <v>40.677966101694913</v>
      </c>
      <c r="H473" s="18"/>
    </row>
    <row r="474" spans="1:17">
      <c r="A474" s="19"/>
      <c r="B474" s="56" t="s">
        <v>1539</v>
      </c>
      <c r="C474" s="62">
        <v>1</v>
      </c>
      <c r="D474" s="57" t="s">
        <v>9</v>
      </c>
      <c r="E474" s="61">
        <v>67.3</v>
      </c>
      <c r="F474" s="61"/>
      <c r="G474" s="17">
        <f t="shared" si="54"/>
        <v>67.3</v>
      </c>
      <c r="H474" s="18"/>
    </row>
    <row r="475" spans="1:17">
      <c r="A475" s="19"/>
      <c r="B475" s="56" t="s">
        <v>1845</v>
      </c>
      <c r="C475" s="62">
        <v>1</v>
      </c>
      <c r="D475" s="57" t="s">
        <v>12</v>
      </c>
      <c r="E475" s="61">
        <v>63.6</v>
      </c>
      <c r="F475" s="61"/>
      <c r="G475" s="17">
        <f t="shared" si="54"/>
        <v>63.6</v>
      </c>
      <c r="H475" s="18"/>
    </row>
    <row r="476" spans="1:17" ht="15.75" thickBot="1">
      <c r="A476" s="21"/>
      <c r="B476" s="22"/>
      <c r="C476" s="23"/>
      <c r="D476" s="24" t="s">
        <v>111</v>
      </c>
      <c r="E476" s="78"/>
      <c r="F476" s="79"/>
      <c r="G476" s="26">
        <f>SUM(G472:G475)</f>
        <v>374.25796610169493</v>
      </c>
      <c r="H476" s="27" t="s">
        <v>21</v>
      </c>
    </row>
    <row r="477" spans="1:17" ht="15.75" thickTop="1">
      <c r="B477" s="55"/>
    </row>
    <row r="478" spans="1:17">
      <c r="A478" s="64"/>
      <c r="B478" s="370" t="e">
        <f>#REF!</f>
        <v>#REF!</v>
      </c>
      <c r="C478" s="370"/>
      <c r="D478" s="370"/>
      <c r="E478" s="370"/>
      <c r="F478" s="370"/>
      <c r="G478" s="370"/>
      <c r="H478" s="370"/>
      <c r="J478">
        <v>1.008</v>
      </c>
    </row>
    <row r="479" spans="1:17">
      <c r="A479" s="6"/>
      <c r="B479" s="7"/>
      <c r="C479" s="8" t="s">
        <v>98</v>
      </c>
      <c r="D479" s="9" t="s">
        <v>39</v>
      </c>
      <c r="E479" s="74" t="s">
        <v>99</v>
      </c>
      <c r="F479" s="75" t="s">
        <v>100</v>
      </c>
      <c r="G479" s="11" t="s">
        <v>101</v>
      </c>
      <c r="H479" s="12"/>
      <c r="J479">
        <f>1.6/0.15</f>
        <v>10.666666666666668</v>
      </c>
      <c r="K479">
        <v>11</v>
      </c>
      <c r="L479">
        <v>1.4</v>
      </c>
      <c r="M479">
        <v>3.2810000000000001</v>
      </c>
      <c r="N479">
        <v>0.66700000000000004</v>
      </c>
      <c r="O479">
        <f>+K479*L479*M479*N479/100</f>
        <v>0.337017758</v>
      </c>
    </row>
    <row r="480" spans="1:17">
      <c r="A480" s="19"/>
      <c r="B480" s="56" t="s">
        <v>1846</v>
      </c>
      <c r="C480" s="62">
        <v>1</v>
      </c>
      <c r="D480" s="57" t="s">
        <v>9</v>
      </c>
      <c r="E480" s="61">
        <v>152.54</v>
      </c>
      <c r="F480" s="61">
        <f>+E480*0.18</f>
        <v>27.457199999999997</v>
      </c>
      <c r="G480" s="17">
        <f t="shared" ref="G480" si="55">+C480*E480+C480*F480</f>
        <v>179.99719999999999</v>
      </c>
      <c r="H480" s="12"/>
      <c r="O480">
        <f>SUM(O479:O479)</f>
        <v>0.337017758</v>
      </c>
      <c r="P480">
        <f>+O480*1.05</f>
        <v>0.3538686459</v>
      </c>
      <c r="Q480">
        <f>+P480/J478</f>
        <v>0.35106016458333333</v>
      </c>
    </row>
    <row r="481" spans="1:17" ht="15.75" thickBot="1">
      <c r="A481" s="21"/>
      <c r="B481" s="22"/>
      <c r="C481" s="23"/>
      <c r="D481" s="24" t="s">
        <v>111</v>
      </c>
      <c r="E481" s="78"/>
      <c r="F481" s="79"/>
      <c r="G481" s="26">
        <f>SUM(G480:G480)</f>
        <v>179.99719999999999</v>
      </c>
      <c r="H481" s="27" t="s">
        <v>21</v>
      </c>
    </row>
    <row r="482" spans="1:17" ht="15.75" thickTop="1"/>
    <row r="483" spans="1:17">
      <c r="A483" s="53"/>
      <c r="B483" s="53" t="s">
        <v>1547</v>
      </c>
      <c r="C483" s="54"/>
      <c r="D483" s="54"/>
      <c r="E483" s="72"/>
      <c r="F483" s="72"/>
      <c r="G483" s="54"/>
      <c r="H483" s="54"/>
    </row>
    <row r="484" spans="1:17">
      <c r="B484" s="55"/>
    </row>
    <row r="485" spans="1:17">
      <c r="A485" s="64"/>
      <c r="B485" s="370" t="e">
        <f>#REF!</f>
        <v>#REF!</v>
      </c>
      <c r="C485" s="370"/>
      <c r="D485" s="370"/>
      <c r="E485" s="370"/>
      <c r="F485" s="370"/>
      <c r="G485" s="370"/>
      <c r="H485" s="370"/>
    </row>
    <row r="486" spans="1:17">
      <c r="A486" s="6"/>
      <c r="B486" s="7"/>
      <c r="C486" s="8" t="s">
        <v>98</v>
      </c>
      <c r="D486" s="9" t="s">
        <v>39</v>
      </c>
      <c r="E486" s="74" t="s">
        <v>99</v>
      </c>
      <c r="F486" s="75" t="s">
        <v>100</v>
      </c>
      <c r="G486" s="11" t="s">
        <v>101</v>
      </c>
      <c r="H486" s="12"/>
      <c r="N486">
        <v>0.66700000000000004</v>
      </c>
      <c r="O486">
        <f>+K486*L486*M486*N486/100</f>
        <v>0</v>
      </c>
    </row>
    <row r="487" spans="1:17">
      <c r="A487" s="19"/>
      <c r="B487" s="56" t="s">
        <v>1649</v>
      </c>
      <c r="C487" s="62">
        <v>1.1200000000000001</v>
      </c>
      <c r="D487" s="57" t="s">
        <v>9</v>
      </c>
      <c r="E487" s="61">
        <f>Materiales!$D$1385</f>
        <v>1101.6949152542372</v>
      </c>
      <c r="F487" s="61">
        <f>+E487*0.18</f>
        <v>198.30508474576268</v>
      </c>
      <c r="G487" s="17">
        <f t="shared" ref="G487:G495" si="56">+C487*E487+C487*F487</f>
        <v>1456</v>
      </c>
      <c r="H487" s="12"/>
      <c r="O487">
        <f>SUM(O486:O486)</f>
        <v>0</v>
      </c>
      <c r="P487">
        <f>+O487*1.05</f>
        <v>0</v>
      </c>
      <c r="Q487" t="e">
        <f>+P487/J485</f>
        <v>#DIV/0!</v>
      </c>
    </row>
    <row r="488" spans="1:17">
      <c r="A488" s="19"/>
      <c r="B488" s="56" t="s">
        <v>1548</v>
      </c>
      <c r="C488" s="62">
        <v>0.14000000000000001</v>
      </c>
      <c r="D488" s="57" t="s">
        <v>129</v>
      </c>
      <c r="E488" s="61">
        <f>Materiales!$D$8</f>
        <v>218.64406779661016</v>
      </c>
      <c r="F488" s="61">
        <v>39.36</v>
      </c>
      <c r="G488" s="17">
        <f t="shared" si="56"/>
        <v>36.12056949152543</v>
      </c>
      <c r="H488" s="18"/>
    </row>
    <row r="489" spans="1:17">
      <c r="A489" s="19"/>
      <c r="B489" s="56" t="s">
        <v>1549</v>
      </c>
      <c r="C489" s="62">
        <v>0.05</v>
      </c>
      <c r="D489" s="57" t="s">
        <v>129</v>
      </c>
      <c r="E489" s="61">
        <f>Materiales!$D$5</f>
        <v>389.83050847457628</v>
      </c>
      <c r="F489" s="61">
        <f>+E489*0.18</f>
        <v>70.169491525423723</v>
      </c>
      <c r="G489" s="17">
        <f t="shared" si="56"/>
        <v>23.000000000000004</v>
      </c>
      <c r="H489" s="12"/>
    </row>
    <row r="490" spans="1:17">
      <c r="A490" s="19"/>
      <c r="B490" s="56" t="s">
        <v>1542</v>
      </c>
      <c r="C490" s="62">
        <v>3.0000000000000001E-3</v>
      </c>
      <c r="D490" s="57" t="s">
        <v>129</v>
      </c>
      <c r="E490" s="61">
        <v>1016.95</v>
      </c>
      <c r="F490" s="61">
        <v>183.05</v>
      </c>
      <c r="G490" s="17">
        <f t="shared" si="56"/>
        <v>3.6</v>
      </c>
      <c r="H490" s="12"/>
    </row>
    <row r="491" spans="1:17">
      <c r="A491" s="19"/>
      <c r="B491" s="56" t="s">
        <v>1550</v>
      </c>
      <c r="C491" s="62">
        <v>0.05</v>
      </c>
      <c r="D491" s="57" t="s">
        <v>178</v>
      </c>
      <c r="E491" s="61">
        <f>Materiales!$D$1303</f>
        <v>1016.9491525423729</v>
      </c>
      <c r="F491" s="61">
        <v>11.44</v>
      </c>
      <c r="G491" s="17">
        <f t="shared" si="56"/>
        <v>51.419457627118646</v>
      </c>
      <c r="H491" s="12"/>
    </row>
    <row r="492" spans="1:17">
      <c r="A492" s="19"/>
      <c r="B492" s="56" t="s">
        <v>1551</v>
      </c>
      <c r="C492" s="62">
        <v>4.5</v>
      </c>
      <c r="D492" s="57" t="s">
        <v>3</v>
      </c>
      <c r="E492" s="61">
        <f>Materiales!$D$1299</f>
        <v>63.559322033898304</v>
      </c>
      <c r="F492" s="61">
        <v>5.34</v>
      </c>
      <c r="G492" s="17">
        <f t="shared" si="56"/>
        <v>310.04694915254242</v>
      </c>
      <c r="H492" s="12"/>
    </row>
    <row r="493" spans="1:17">
      <c r="A493" s="19"/>
      <c r="B493" s="56" t="s">
        <v>1552</v>
      </c>
      <c r="C493" s="62">
        <v>0.05</v>
      </c>
      <c r="D493" s="57" t="s">
        <v>129</v>
      </c>
      <c r="E493" s="61">
        <v>250</v>
      </c>
      <c r="F493" s="61">
        <f>+E493*0.18</f>
        <v>45</v>
      </c>
      <c r="G493" s="17">
        <f t="shared" si="56"/>
        <v>14.75</v>
      </c>
      <c r="H493" s="12"/>
    </row>
    <row r="494" spans="1:17">
      <c r="A494" s="19"/>
      <c r="B494" s="56" t="s">
        <v>1553</v>
      </c>
      <c r="C494" s="62">
        <v>1</v>
      </c>
      <c r="D494" s="57" t="s">
        <v>12</v>
      </c>
      <c r="E494" s="61">
        <f>+G487*0.03</f>
        <v>43.68</v>
      </c>
      <c r="F494" s="61">
        <v>0</v>
      </c>
      <c r="G494" s="17">
        <f t="shared" si="56"/>
        <v>43.68</v>
      </c>
      <c r="H494" s="12"/>
    </row>
    <row r="495" spans="1:17">
      <c r="A495" s="19"/>
      <c r="B495" s="56" t="s">
        <v>1554</v>
      </c>
      <c r="C495" s="62">
        <v>1</v>
      </c>
      <c r="D495" s="57" t="s">
        <v>9</v>
      </c>
      <c r="E495" s="61">
        <v>453.12</v>
      </c>
      <c r="F495" s="61"/>
      <c r="G495" s="17">
        <f t="shared" si="56"/>
        <v>453.12</v>
      </c>
      <c r="H495" s="12"/>
    </row>
    <row r="496" spans="1:17" ht="15.75" thickBot="1">
      <c r="A496" s="21"/>
      <c r="B496" s="22"/>
      <c r="C496" s="23"/>
      <c r="D496" s="24" t="s">
        <v>111</v>
      </c>
      <c r="E496" s="78"/>
      <c r="F496" s="79"/>
      <c r="G496" s="26">
        <f>SUM(G487:G495)</f>
        <v>2391.7369762711864</v>
      </c>
      <c r="H496" s="27" t="s">
        <v>21</v>
      </c>
    </row>
    <row r="497" spans="1:8" ht="15.75" thickTop="1"/>
    <row r="498" spans="1:8">
      <c r="A498" s="53"/>
      <c r="B498" s="53" t="s">
        <v>76</v>
      </c>
      <c r="C498" s="54"/>
      <c r="D498" s="54"/>
      <c r="E498" s="72"/>
      <c r="F498" s="72"/>
      <c r="G498" s="54"/>
      <c r="H498" s="54"/>
    </row>
    <row r="499" spans="1:8">
      <c r="B499" s="55"/>
    </row>
    <row r="500" spans="1:8">
      <c r="A500" s="4"/>
      <c r="B500" s="370" t="e">
        <f>#REF!</f>
        <v>#REF!</v>
      </c>
      <c r="C500" s="370"/>
      <c r="D500" s="370"/>
      <c r="E500" s="370"/>
      <c r="F500" s="370"/>
      <c r="G500" s="370"/>
      <c r="H500" s="370"/>
    </row>
    <row r="501" spans="1:8">
      <c r="A501" s="6"/>
      <c r="B501" s="7"/>
      <c r="C501" s="8" t="s">
        <v>98</v>
      </c>
      <c r="D501" s="9" t="s">
        <v>39</v>
      </c>
      <c r="E501" s="74" t="s">
        <v>99</v>
      </c>
      <c r="F501" s="75" t="s">
        <v>100</v>
      </c>
      <c r="G501" s="11" t="s">
        <v>101</v>
      </c>
      <c r="H501" s="12"/>
    </row>
    <row r="502" spans="1:8">
      <c r="A502" s="19"/>
      <c r="B502" s="56" t="s">
        <v>1562</v>
      </c>
      <c r="C502" s="62">
        <f>0.05*1.1</f>
        <v>5.5000000000000007E-2</v>
      </c>
      <c r="D502" s="57" t="s">
        <v>20</v>
      </c>
      <c r="E502" s="61">
        <f>'Analisis Auxiliares'!$G$44</f>
        <v>6785.5</v>
      </c>
      <c r="F502" s="61"/>
      <c r="G502" s="17">
        <f>+C502*E502+C502*F502</f>
        <v>373.20250000000004</v>
      </c>
      <c r="H502" s="12"/>
    </row>
    <row r="503" spans="1:8">
      <c r="A503" s="19"/>
      <c r="B503" s="56" t="s">
        <v>1563</v>
      </c>
      <c r="C503" s="62">
        <v>0.33329999999999999</v>
      </c>
      <c r="D503" s="57" t="s">
        <v>190</v>
      </c>
      <c r="E503" s="61">
        <v>101.69</v>
      </c>
      <c r="F503" s="61">
        <v>18.3</v>
      </c>
      <c r="G503" s="17">
        <f t="shared" ref="G503:G505" si="57">+C503*E503+C503*F503</f>
        <v>39.992666999999997</v>
      </c>
      <c r="H503" s="12"/>
    </row>
    <row r="504" spans="1:8">
      <c r="A504" s="19"/>
      <c r="B504" s="56" t="s">
        <v>1564</v>
      </c>
      <c r="C504" s="62">
        <v>1</v>
      </c>
      <c r="D504" s="57" t="s">
        <v>9</v>
      </c>
      <c r="E504" s="61">
        <v>136.5</v>
      </c>
      <c r="F504" s="61"/>
      <c r="G504" s="17">
        <f t="shared" si="57"/>
        <v>136.5</v>
      </c>
      <c r="H504" s="12"/>
    </row>
    <row r="505" spans="1:8">
      <c r="A505" s="19"/>
      <c r="B505" s="56" t="s">
        <v>1561</v>
      </c>
      <c r="C505" s="62">
        <v>0.1</v>
      </c>
      <c r="D505" s="57" t="s">
        <v>290</v>
      </c>
      <c r="E505" s="61">
        <v>847</v>
      </c>
      <c r="F505" s="61"/>
      <c r="G505" s="17">
        <f t="shared" si="57"/>
        <v>84.7</v>
      </c>
      <c r="H505" s="12"/>
    </row>
    <row r="506" spans="1:8" ht="15.75" thickBot="1">
      <c r="A506" s="21"/>
      <c r="B506" s="22"/>
      <c r="C506" s="23"/>
      <c r="D506" s="24" t="s">
        <v>111</v>
      </c>
      <c r="E506" s="78"/>
      <c r="F506" s="79"/>
      <c r="G506" s="26">
        <f>SUM(G502:G505)</f>
        <v>634.39516700000013</v>
      </c>
      <c r="H506" s="27" t="s">
        <v>21</v>
      </c>
    </row>
    <row r="507" spans="1:8" ht="15.75" thickTop="1">
      <c r="B507" s="55"/>
    </row>
    <row r="508" spans="1:8">
      <c r="A508" s="4"/>
      <c r="B508" s="370" t="e">
        <f>#REF!</f>
        <v>#REF!</v>
      </c>
      <c r="C508" s="370"/>
      <c r="D508" s="370"/>
      <c r="E508" s="370"/>
      <c r="F508" s="370"/>
      <c r="G508" s="370"/>
      <c r="H508" s="370"/>
    </row>
    <row r="509" spans="1:8">
      <c r="A509" s="6"/>
      <c r="B509" s="7"/>
      <c r="C509" s="8" t="s">
        <v>98</v>
      </c>
      <c r="D509" s="9" t="s">
        <v>39</v>
      </c>
      <c r="E509" s="74" t="s">
        <v>99</v>
      </c>
      <c r="F509" s="75" t="s">
        <v>100</v>
      </c>
      <c r="G509" s="11" t="s">
        <v>101</v>
      </c>
      <c r="H509" s="12"/>
    </row>
    <row r="510" spans="1:8">
      <c r="A510" s="19"/>
      <c r="B510" s="56" t="s">
        <v>1559</v>
      </c>
      <c r="C510" s="62">
        <v>1.0500000000000001E-2</v>
      </c>
      <c r="D510" s="57" t="s">
        <v>20</v>
      </c>
      <c r="E510" s="61">
        <f>'Analisis Auxiliares'!$G$44</f>
        <v>6785.5</v>
      </c>
      <c r="F510" s="61"/>
      <c r="G510" s="17">
        <f>+C510*E510+C510*F510</f>
        <v>71.247750000000011</v>
      </c>
      <c r="H510" s="12"/>
    </row>
    <row r="511" spans="1:8">
      <c r="A511" s="19"/>
      <c r="B511" s="56" t="s">
        <v>1560</v>
      </c>
      <c r="C511" s="62">
        <v>1</v>
      </c>
      <c r="D511" s="57" t="s">
        <v>14</v>
      </c>
      <c r="E511" s="61">
        <v>72.819999999999993</v>
      </c>
      <c r="F511" s="61"/>
      <c r="G511" s="17">
        <f t="shared" ref="G511:G512" si="58">+C511*E511+C511*F511</f>
        <v>72.819999999999993</v>
      </c>
      <c r="H511" s="12"/>
    </row>
    <row r="512" spans="1:8">
      <c r="A512" s="19"/>
      <c r="B512" s="56" t="s">
        <v>1561</v>
      </c>
      <c r="C512" s="62">
        <v>0.02</v>
      </c>
      <c r="D512" s="57" t="s">
        <v>290</v>
      </c>
      <c r="E512" s="61">
        <v>847</v>
      </c>
      <c r="F512" s="61"/>
      <c r="G512" s="17">
        <f t="shared" si="58"/>
        <v>16.940000000000001</v>
      </c>
      <c r="H512" s="12"/>
    </row>
    <row r="513" spans="1:17" ht="15.75" thickBot="1">
      <c r="A513" s="21"/>
      <c r="B513" s="22"/>
      <c r="C513" s="23"/>
      <c r="D513" s="24" t="s">
        <v>111</v>
      </c>
      <c r="E513" s="78"/>
      <c r="F513" s="79"/>
      <c r="G513" s="26">
        <f>SUM(G510:G512)</f>
        <v>161.00774999999999</v>
      </c>
      <c r="H513" s="27" t="s">
        <v>43</v>
      </c>
    </row>
    <row r="514" spans="1:17" ht="15.75" thickTop="1">
      <c r="B514" s="55"/>
    </row>
    <row r="515" spans="1:17">
      <c r="A515" s="64"/>
      <c r="B515" s="370" t="e">
        <f>#REF!</f>
        <v>#REF!</v>
      </c>
      <c r="C515" s="370"/>
      <c r="D515" s="370"/>
      <c r="E515" s="370"/>
      <c r="F515" s="370"/>
      <c r="G515" s="370"/>
      <c r="H515" s="370"/>
      <c r="J515">
        <v>1.008</v>
      </c>
    </row>
    <row r="516" spans="1:17">
      <c r="A516" s="6"/>
      <c r="B516" s="7"/>
      <c r="C516" s="8" t="s">
        <v>98</v>
      </c>
      <c r="D516" s="9" t="s">
        <v>39</v>
      </c>
      <c r="E516" s="74" t="s">
        <v>99</v>
      </c>
      <c r="F516" s="75" t="s">
        <v>100</v>
      </c>
      <c r="G516" s="11" t="s">
        <v>101</v>
      </c>
      <c r="H516" s="12"/>
      <c r="J516">
        <f>1.6/0.15</f>
        <v>10.666666666666668</v>
      </c>
      <c r="K516">
        <v>11</v>
      </c>
      <c r="L516">
        <v>1.4</v>
      </c>
      <c r="M516">
        <v>3.2810000000000001</v>
      </c>
      <c r="N516">
        <v>0.66700000000000004</v>
      </c>
      <c r="O516">
        <f>+K516*L516*M516*N516/100</f>
        <v>0.337017758</v>
      </c>
    </row>
    <row r="517" spans="1:17">
      <c r="A517" s="19"/>
      <c r="B517" s="56" t="s">
        <v>1647</v>
      </c>
      <c r="C517" s="62">
        <v>0.6</v>
      </c>
      <c r="D517" s="57" t="s">
        <v>9</v>
      </c>
      <c r="E517" s="61">
        <f>$G$315</f>
        <v>1682.7163999999998</v>
      </c>
      <c r="F517" s="61"/>
      <c r="G517" s="17">
        <f>+C517*E517+C517*F517</f>
        <v>1009.6298399999998</v>
      </c>
      <c r="H517" s="12"/>
      <c r="O517">
        <f>SUM(O516:O516)</f>
        <v>0.337017758</v>
      </c>
      <c r="P517">
        <f>+O517*1.05</f>
        <v>0.3538686459</v>
      </c>
      <c r="Q517">
        <f>+P517/J515</f>
        <v>0.35106016458333333</v>
      </c>
    </row>
    <row r="518" spans="1:17">
      <c r="A518" s="19"/>
      <c r="B518" s="56" t="s">
        <v>1648</v>
      </c>
      <c r="C518" s="62">
        <f>0.6*2+0.15</f>
        <v>1.3499999999999999</v>
      </c>
      <c r="D518" s="57" t="s">
        <v>9</v>
      </c>
      <c r="E518" s="61">
        <f>$G$337</f>
        <v>424.90264500000001</v>
      </c>
      <c r="F518" s="61"/>
      <c r="G518" s="17">
        <f>+C518*E518+C518*F518</f>
        <v>573.61857075</v>
      </c>
      <c r="H518" s="18"/>
    </row>
    <row r="519" spans="1:17">
      <c r="A519" s="19"/>
      <c r="B519" s="56" t="s">
        <v>26</v>
      </c>
      <c r="C519" s="62">
        <v>2</v>
      </c>
      <c r="D519" s="57" t="s">
        <v>14</v>
      </c>
      <c r="E519" s="61">
        <f>$G$371</f>
        <v>143.33237499999998</v>
      </c>
      <c r="F519" s="61"/>
      <c r="G519" s="17">
        <f>+C519*E519+C519*F519</f>
        <v>286.66474999999997</v>
      </c>
      <c r="H519" s="12"/>
    </row>
    <row r="520" spans="1:17" ht="15.75" thickBot="1">
      <c r="A520" s="21"/>
      <c r="B520" s="22"/>
      <c r="C520" s="23"/>
      <c r="D520" s="24" t="s">
        <v>111</v>
      </c>
      <c r="E520" s="78"/>
      <c r="F520" s="79"/>
      <c r="G520" s="26">
        <f>SUM(G517:G519)</f>
        <v>1869.9131607499999</v>
      </c>
      <c r="H520" s="27" t="s">
        <v>43</v>
      </c>
    </row>
    <row r="521" spans="1:17" ht="15.75" thickTop="1">
      <c r="B521" s="55"/>
    </row>
    <row r="522" spans="1:17">
      <c r="A522" s="4"/>
      <c r="B522" s="370" t="e">
        <f>#REF!</f>
        <v>#REF!</v>
      </c>
      <c r="C522" s="370"/>
      <c r="D522" s="370"/>
      <c r="E522" s="370"/>
      <c r="F522" s="370"/>
      <c r="G522" s="370"/>
      <c r="H522" s="370"/>
    </row>
    <row r="523" spans="1:17">
      <c r="A523" s="6"/>
      <c r="B523" s="7"/>
      <c r="C523" s="8" t="s">
        <v>98</v>
      </c>
      <c r="D523" s="9" t="s">
        <v>39</v>
      </c>
      <c r="E523" s="74" t="s">
        <v>99</v>
      </c>
      <c r="F523" s="75" t="s">
        <v>100</v>
      </c>
      <c r="G523" s="11" t="s">
        <v>101</v>
      </c>
      <c r="H523" s="12"/>
    </row>
    <row r="524" spans="1:17">
      <c r="A524" s="19"/>
      <c r="B524" s="60" t="e">
        <f>+B522</f>
        <v>#REF!</v>
      </c>
      <c r="C524" s="62">
        <v>1</v>
      </c>
      <c r="D524" s="57" t="s">
        <v>21</v>
      </c>
      <c r="E524" s="61">
        <f>2950/1.18</f>
        <v>2500</v>
      </c>
      <c r="F524" s="61">
        <f>+E524*0.18</f>
        <v>450</v>
      </c>
      <c r="G524" s="17">
        <f>+C524*E524+C524*F524</f>
        <v>2950</v>
      </c>
      <c r="H524" s="12"/>
    </row>
    <row r="525" spans="1:17" ht="15.75" thickBot="1">
      <c r="A525" s="21"/>
      <c r="B525" s="22"/>
      <c r="C525" s="23"/>
      <c r="D525" s="24" t="s">
        <v>111</v>
      </c>
      <c r="E525" s="78"/>
      <c r="F525" s="79"/>
      <c r="G525" s="26">
        <f>SUM(G524:G524)</f>
        <v>2950</v>
      </c>
      <c r="H525" s="27" t="s">
        <v>21</v>
      </c>
    </row>
    <row r="526" spans="1:17" ht="15.75" thickTop="1">
      <c r="B526" s="55"/>
    </row>
    <row r="527" spans="1:17">
      <c r="A527" s="4"/>
      <c r="B527" s="370" t="s">
        <v>77</v>
      </c>
      <c r="C527" s="370"/>
      <c r="D527" s="370"/>
      <c r="E527" s="370"/>
      <c r="F527" s="370"/>
      <c r="G527" s="370"/>
      <c r="H527" s="370"/>
    </row>
    <row r="528" spans="1:17">
      <c r="A528" s="6"/>
      <c r="B528" s="7"/>
      <c r="C528" s="8" t="s">
        <v>98</v>
      </c>
      <c r="D528" s="9" t="s">
        <v>39</v>
      </c>
      <c r="E528" s="74" t="s">
        <v>99</v>
      </c>
      <c r="F528" s="75" t="s">
        <v>100</v>
      </c>
      <c r="G528" s="11" t="s">
        <v>101</v>
      </c>
      <c r="H528" s="12"/>
    </row>
    <row r="529" spans="1:11">
      <c r="A529" s="19"/>
      <c r="B529" s="56" t="s">
        <v>1566</v>
      </c>
      <c r="C529" s="62">
        <v>1</v>
      </c>
      <c r="D529" s="57" t="s">
        <v>21</v>
      </c>
      <c r="E529" s="61">
        <f>570/1.18</f>
        <v>483.05084745762713</v>
      </c>
      <c r="F529" s="61">
        <f>+E529*0.18</f>
        <v>86.949152542372886</v>
      </c>
      <c r="G529" s="17">
        <f>+C529*E529+C529*F529</f>
        <v>570</v>
      </c>
      <c r="H529" s="12"/>
    </row>
    <row r="530" spans="1:11" ht="15.75" thickBot="1">
      <c r="A530" s="21"/>
      <c r="B530" s="22"/>
      <c r="C530" s="23"/>
      <c r="D530" s="24" t="s">
        <v>111</v>
      </c>
      <c r="E530" s="78"/>
      <c r="F530" s="79"/>
      <c r="G530" s="26">
        <f>SUM(G529:G529)</f>
        <v>570</v>
      </c>
      <c r="H530" s="27" t="s">
        <v>21</v>
      </c>
    </row>
    <row r="531" spans="1:11" ht="15.75" thickTop="1"/>
    <row r="532" spans="1:11">
      <c r="A532" s="53"/>
      <c r="B532" s="53" t="s">
        <v>29</v>
      </c>
      <c r="C532" s="54"/>
      <c r="D532" s="54"/>
      <c r="E532" s="72"/>
      <c r="F532" s="72"/>
      <c r="G532" s="54"/>
      <c r="H532" s="54"/>
    </row>
    <row r="533" spans="1:11">
      <c r="B533" s="55"/>
      <c r="K533">
        <f>1.2*3.281</f>
        <v>3.9371999999999998</v>
      </c>
    </row>
    <row r="534" spans="1:11">
      <c r="A534" s="4"/>
      <c r="B534" s="370" t="e">
        <f>#REF!</f>
        <v>#REF!</v>
      </c>
      <c r="C534" s="370"/>
      <c r="D534" s="370"/>
      <c r="E534" s="370"/>
      <c r="F534" s="370"/>
      <c r="G534" s="370"/>
      <c r="H534" s="370"/>
      <c r="K534">
        <f>2.1*3.281</f>
        <v>6.8901000000000003</v>
      </c>
    </row>
    <row r="535" spans="1:11">
      <c r="A535" s="6"/>
      <c r="B535" s="7"/>
      <c r="C535" s="8" t="s">
        <v>98</v>
      </c>
      <c r="D535" s="9" t="s">
        <v>39</v>
      </c>
      <c r="E535" s="74" t="s">
        <v>99</v>
      </c>
      <c r="F535" s="75" t="s">
        <v>100</v>
      </c>
      <c r="G535" s="11" t="s">
        <v>101</v>
      </c>
      <c r="H535" s="12"/>
      <c r="K535">
        <f>+K533*K534</f>
        <v>27.127701720000001</v>
      </c>
    </row>
    <row r="536" spans="1:11">
      <c r="A536" s="19"/>
      <c r="B536" s="56" t="e">
        <f>#REF!</f>
        <v>#REF!</v>
      </c>
      <c r="C536" s="62">
        <v>1</v>
      </c>
      <c r="D536" s="57" t="s">
        <v>1567</v>
      </c>
      <c r="E536" s="61">
        <f>775/1.18</f>
        <v>656.77966101694915</v>
      </c>
      <c r="F536" s="61">
        <f>+E536*0.18</f>
        <v>118.22033898305084</v>
      </c>
      <c r="G536" s="17">
        <f>+C536*E536+C536*F536</f>
        <v>775</v>
      </c>
      <c r="H536" s="12"/>
    </row>
    <row r="537" spans="1:11" ht="15.75" thickBot="1">
      <c r="A537" s="21"/>
      <c r="B537" s="22"/>
      <c r="C537" s="23"/>
      <c r="D537" s="24" t="s">
        <v>111</v>
      </c>
      <c r="E537" s="78"/>
      <c r="F537" s="79"/>
      <c r="G537" s="26">
        <f>SUM(G536:G536)</f>
        <v>775</v>
      </c>
      <c r="H537" s="27" t="s">
        <v>1567</v>
      </c>
    </row>
    <row r="538" spans="1:11" ht="15.75" thickTop="1">
      <c r="B538" s="55"/>
      <c r="K538">
        <f>1.2*3.281</f>
        <v>3.9371999999999998</v>
      </c>
    </row>
    <row r="539" spans="1:11">
      <c r="A539" s="4"/>
      <c r="B539" s="370" t="e">
        <f>#REF!</f>
        <v>#REF!</v>
      </c>
      <c r="C539" s="370"/>
      <c r="D539" s="370"/>
      <c r="E539" s="370"/>
      <c r="F539" s="370"/>
      <c r="G539" s="370"/>
      <c r="H539" s="370"/>
      <c r="K539">
        <v>6.8901000000000003</v>
      </c>
    </row>
    <row r="540" spans="1:11">
      <c r="A540" s="6"/>
      <c r="B540" s="7"/>
      <c r="C540" s="8" t="s">
        <v>98</v>
      </c>
      <c r="D540" s="9" t="s">
        <v>39</v>
      </c>
      <c r="E540" s="74" t="s">
        <v>99</v>
      </c>
      <c r="F540" s="75" t="s">
        <v>100</v>
      </c>
      <c r="G540" s="11" t="s">
        <v>101</v>
      </c>
      <c r="H540" s="12"/>
      <c r="K540">
        <f>+K538*K539</f>
        <v>27.127701720000001</v>
      </c>
    </row>
    <row r="541" spans="1:11">
      <c r="A541" s="19"/>
      <c r="B541" s="56" t="s">
        <v>1847</v>
      </c>
      <c r="C541" s="62">
        <v>1</v>
      </c>
      <c r="D541" s="57" t="s">
        <v>3</v>
      </c>
      <c r="E541" s="61">
        <v>6067.8</v>
      </c>
      <c r="F541" s="61">
        <f>+E541*0.18</f>
        <v>1092.204</v>
      </c>
      <c r="G541" s="17">
        <f>+C541*E541+C541*F541</f>
        <v>7160.0039999999999</v>
      </c>
      <c r="H541" s="12"/>
    </row>
    <row r="542" spans="1:11">
      <c r="A542" s="19"/>
      <c r="B542" s="56" t="s">
        <v>1650</v>
      </c>
      <c r="C542" s="62">
        <v>1</v>
      </c>
      <c r="D542" s="57" t="s">
        <v>3</v>
      </c>
      <c r="E542" s="61">
        <v>1419.49</v>
      </c>
      <c r="F542" s="61">
        <f>+E542*0.18</f>
        <v>255.50819999999999</v>
      </c>
      <c r="G542" s="17">
        <f>+C542*E542+C542*F542</f>
        <v>1674.9982</v>
      </c>
      <c r="H542" s="12"/>
    </row>
    <row r="543" spans="1:11">
      <c r="A543" s="19"/>
      <c r="B543" s="56" t="s">
        <v>1651</v>
      </c>
      <c r="C543" s="62">
        <v>1</v>
      </c>
      <c r="D543" s="57" t="s">
        <v>3</v>
      </c>
      <c r="E543" s="61">
        <f>+G541*0.03</f>
        <v>214.80011999999999</v>
      </c>
      <c r="F543" s="61"/>
      <c r="G543" s="17">
        <f t="shared" ref="G543:G544" si="59">+C543*E543+C543*F543</f>
        <v>214.80011999999999</v>
      </c>
      <c r="H543" s="12"/>
    </row>
    <row r="544" spans="1:11">
      <c r="A544" s="19"/>
      <c r="B544" s="56" t="s">
        <v>1652</v>
      </c>
      <c r="C544" s="62">
        <v>1</v>
      </c>
      <c r="D544" s="57" t="s">
        <v>3</v>
      </c>
      <c r="E544" s="61">
        <v>1541.32</v>
      </c>
      <c r="F544" s="61"/>
      <c r="G544" s="17">
        <f t="shared" si="59"/>
        <v>1541.32</v>
      </c>
      <c r="H544" s="12"/>
    </row>
    <row r="545" spans="1:11">
      <c r="A545" s="19"/>
      <c r="B545" s="56"/>
      <c r="C545" s="62"/>
      <c r="D545" s="57"/>
      <c r="E545" s="61"/>
      <c r="F545" s="61"/>
      <c r="G545" s="17"/>
      <c r="H545" s="12"/>
    </row>
    <row r="546" spans="1:11" ht="15.75" thickBot="1">
      <c r="A546" s="21"/>
      <c r="B546" s="22"/>
      <c r="C546" s="23"/>
      <c r="D546" s="24" t="s">
        <v>111</v>
      </c>
      <c r="E546" s="78"/>
      <c r="F546" s="79"/>
      <c r="G546" s="26">
        <f>SUM(G541:G545)</f>
        <v>10591.122319999999</v>
      </c>
      <c r="H546" s="27" t="s">
        <v>1492</v>
      </c>
    </row>
    <row r="547" spans="1:11" ht="15.75" thickTop="1">
      <c r="B547" s="55"/>
      <c r="K547">
        <f>1.2*3.281</f>
        <v>3.9371999999999998</v>
      </c>
    </row>
    <row r="548" spans="1:11">
      <c r="A548" s="4"/>
      <c r="B548" s="370" t="e">
        <f>#REF!</f>
        <v>#REF!</v>
      </c>
      <c r="C548" s="370"/>
      <c r="D548" s="370"/>
      <c r="E548" s="370"/>
      <c r="F548" s="370"/>
      <c r="G548" s="370"/>
      <c r="H548" s="370"/>
      <c r="K548">
        <v>6.8901000000000003</v>
      </c>
    </row>
    <row r="549" spans="1:11">
      <c r="A549" s="6"/>
      <c r="B549" s="7"/>
      <c r="C549" s="8" t="s">
        <v>98</v>
      </c>
      <c r="D549" s="9" t="s">
        <v>39</v>
      </c>
      <c r="E549" s="74" t="s">
        <v>99</v>
      </c>
      <c r="F549" s="75" t="s">
        <v>100</v>
      </c>
      <c r="G549" s="11" t="s">
        <v>101</v>
      </c>
      <c r="H549" s="12"/>
      <c r="K549">
        <f>+K547*K548</f>
        <v>27.127701720000001</v>
      </c>
    </row>
    <row r="550" spans="1:11">
      <c r="A550" s="19"/>
      <c r="B550" s="56" t="s">
        <v>1653</v>
      </c>
      <c r="C550" s="62">
        <v>1</v>
      </c>
      <c r="D550" s="57" t="s">
        <v>3</v>
      </c>
      <c r="E550" s="61">
        <v>4067.8</v>
      </c>
      <c r="F550" s="61">
        <f>+E550*0.18</f>
        <v>732.20399999999995</v>
      </c>
      <c r="G550" s="17">
        <f>+C550*E550+C550*F550</f>
        <v>4800.0039999999999</v>
      </c>
      <c r="H550" s="12"/>
    </row>
    <row r="551" spans="1:11">
      <c r="A551" s="19"/>
      <c r="B551" s="56" t="s">
        <v>1650</v>
      </c>
      <c r="C551" s="62">
        <v>1</v>
      </c>
      <c r="D551" s="57" t="s">
        <v>3</v>
      </c>
      <c r="E551" s="61">
        <v>1419.49</v>
      </c>
      <c r="F551" s="61">
        <f>+E551*0.18</f>
        <v>255.50819999999999</v>
      </c>
      <c r="G551" s="17">
        <f>+C551*E551+C551*F551</f>
        <v>1674.9982</v>
      </c>
      <c r="H551" s="12"/>
    </row>
    <row r="552" spans="1:11">
      <c r="A552" s="19"/>
      <c r="B552" s="56" t="s">
        <v>1651</v>
      </c>
      <c r="C552" s="62">
        <v>1</v>
      </c>
      <c r="D552" s="57" t="s">
        <v>3</v>
      </c>
      <c r="E552" s="61">
        <f>+G550*0.03</f>
        <v>144.00011999999998</v>
      </c>
      <c r="F552" s="61"/>
      <c r="G552" s="17">
        <f t="shared" ref="G552:G553" si="60">+C552*E552+C552*F552</f>
        <v>144.00011999999998</v>
      </c>
      <c r="H552" s="12"/>
    </row>
    <row r="553" spans="1:11">
      <c r="A553" s="19"/>
      <c r="B553" s="56" t="s">
        <v>1652</v>
      </c>
      <c r="C553" s="62">
        <v>1</v>
      </c>
      <c r="D553" s="57" t="s">
        <v>3</v>
      </c>
      <c r="E553" s="61">
        <v>1541.32</v>
      </c>
      <c r="F553" s="61"/>
      <c r="G553" s="17">
        <f t="shared" si="60"/>
        <v>1541.32</v>
      </c>
      <c r="H553" s="12"/>
    </row>
    <row r="554" spans="1:11">
      <c r="A554" s="19"/>
      <c r="B554" s="56"/>
      <c r="C554" s="62"/>
      <c r="D554" s="57"/>
      <c r="E554" s="61"/>
      <c r="F554" s="61"/>
      <c r="G554" s="17"/>
      <c r="H554" s="12"/>
    </row>
    <row r="555" spans="1:11" ht="15.75" thickBot="1">
      <c r="A555" s="21"/>
      <c r="B555" s="22"/>
      <c r="C555" s="23"/>
      <c r="D555" s="24" t="s">
        <v>111</v>
      </c>
      <c r="E555" s="78"/>
      <c r="F555" s="79"/>
      <c r="G555" s="26">
        <f>SUM(G550:G554)</f>
        <v>8160.3223199999993</v>
      </c>
      <c r="H555" s="27" t="s">
        <v>1492</v>
      </c>
    </row>
    <row r="556" spans="1:11" ht="15.75" thickTop="1">
      <c r="B556" s="55"/>
      <c r="K556">
        <f>1.2*3.281</f>
        <v>3.9371999999999998</v>
      </c>
    </row>
    <row r="557" spans="1:11">
      <c r="A557" s="4"/>
      <c r="B557" s="370" t="e">
        <f>#REF!</f>
        <v>#REF!</v>
      </c>
      <c r="C557" s="370"/>
      <c r="D557" s="370"/>
      <c r="E557" s="370"/>
      <c r="F557" s="370"/>
      <c r="G557" s="370"/>
      <c r="H557" s="370"/>
      <c r="K557">
        <v>6.8901000000000003</v>
      </c>
    </row>
    <row r="558" spans="1:11">
      <c r="A558" s="6"/>
      <c r="B558" s="7"/>
      <c r="C558" s="8" t="s">
        <v>98</v>
      </c>
      <c r="D558" s="9" t="s">
        <v>39</v>
      </c>
      <c r="E558" s="74" t="s">
        <v>99</v>
      </c>
      <c r="F558" s="75" t="s">
        <v>100</v>
      </c>
      <c r="G558" s="11" t="s">
        <v>101</v>
      </c>
      <c r="H558" s="12"/>
      <c r="K558">
        <f>+K556*K557</f>
        <v>27.127701720000001</v>
      </c>
    </row>
    <row r="559" spans="1:11">
      <c r="A559" s="19"/>
      <c r="B559" s="56" t="s">
        <v>1653</v>
      </c>
      <c r="C559" s="62">
        <v>1</v>
      </c>
      <c r="D559" s="57" t="s">
        <v>3</v>
      </c>
      <c r="E559" s="61">
        <v>4067.8</v>
      </c>
      <c r="F559" s="61">
        <f>+E559*0.18</f>
        <v>732.20399999999995</v>
      </c>
      <c r="G559" s="17">
        <f>+C559*E559+C559*F559</f>
        <v>4800.0039999999999</v>
      </c>
      <c r="H559" s="12"/>
    </row>
    <row r="560" spans="1:11">
      <c r="A560" s="19"/>
      <c r="B560" s="56" t="s">
        <v>1650</v>
      </c>
      <c r="C560" s="62">
        <v>1</v>
      </c>
      <c r="D560" s="57" t="s">
        <v>3</v>
      </c>
      <c r="E560" s="61">
        <v>1419.49</v>
      </c>
      <c r="F560" s="61">
        <f>+E560*0.18</f>
        <v>255.50819999999999</v>
      </c>
      <c r="G560" s="17">
        <f>+C560*E560+C560*F560</f>
        <v>1674.9982</v>
      </c>
      <c r="H560" s="12"/>
    </row>
    <row r="561" spans="1:13">
      <c r="A561" s="19"/>
      <c r="B561" s="56" t="s">
        <v>1651</v>
      </c>
      <c r="C561" s="62">
        <v>1</v>
      </c>
      <c r="D561" s="57" t="s">
        <v>3</v>
      </c>
      <c r="E561" s="61">
        <f>+G559*0.03</f>
        <v>144.00011999999998</v>
      </c>
      <c r="F561" s="61"/>
      <c r="G561" s="17">
        <f t="shared" ref="G561:G562" si="61">+C561*E561+C561*F561</f>
        <v>144.00011999999998</v>
      </c>
      <c r="H561" s="12"/>
    </row>
    <row r="562" spans="1:13">
      <c r="A562" s="19"/>
      <c r="B562" s="56" t="s">
        <v>1652</v>
      </c>
      <c r="C562" s="62">
        <v>1</v>
      </c>
      <c r="D562" s="57" t="s">
        <v>3</v>
      </c>
      <c r="E562" s="61">
        <v>1541.32</v>
      </c>
      <c r="F562" s="61"/>
      <c r="G562" s="17">
        <f t="shared" si="61"/>
        <v>1541.32</v>
      </c>
      <c r="H562" s="12"/>
    </row>
    <row r="563" spans="1:13">
      <c r="A563" s="19"/>
      <c r="B563" s="56"/>
      <c r="C563" s="62"/>
      <c r="D563" s="57"/>
      <c r="E563" s="61"/>
      <c r="F563" s="61"/>
      <c r="G563" s="17"/>
      <c r="H563" s="12"/>
    </row>
    <row r="564" spans="1:13" ht="15.75" thickBot="1">
      <c r="A564" s="21"/>
      <c r="B564" s="22"/>
      <c r="C564" s="23"/>
      <c r="D564" s="24" t="s">
        <v>111</v>
      </c>
      <c r="E564" s="78"/>
      <c r="F564" s="79"/>
      <c r="G564" s="26">
        <f>SUM(G559:G563)</f>
        <v>8160.3223199999993</v>
      </c>
      <c r="H564" s="27" t="s">
        <v>1492</v>
      </c>
    </row>
    <row r="565" spans="1:13" ht="15.75" thickTop="1">
      <c r="B565" s="55"/>
      <c r="K565">
        <f>1.2*3.281</f>
        <v>3.9371999999999998</v>
      </c>
    </row>
    <row r="566" spans="1:13">
      <c r="A566" s="4"/>
      <c r="B566" s="370" t="e">
        <f>#REF!</f>
        <v>#REF!</v>
      </c>
      <c r="C566" s="370"/>
      <c r="D566" s="370"/>
      <c r="E566" s="370"/>
      <c r="F566" s="370"/>
      <c r="G566" s="370"/>
      <c r="H566" s="370"/>
      <c r="K566">
        <f>2.1*3.281</f>
        <v>6.8901000000000003</v>
      </c>
    </row>
    <row r="567" spans="1:13">
      <c r="A567" s="6"/>
      <c r="B567" s="7"/>
      <c r="C567" s="8" t="s">
        <v>98</v>
      </c>
      <c r="D567" s="9" t="s">
        <v>39</v>
      </c>
      <c r="E567" s="74" t="s">
        <v>99</v>
      </c>
      <c r="F567" s="75" t="s">
        <v>100</v>
      </c>
      <c r="G567" s="11" t="s">
        <v>101</v>
      </c>
      <c r="H567" s="12"/>
      <c r="K567">
        <f>+K565*K566</f>
        <v>27.127701720000001</v>
      </c>
    </row>
    <row r="568" spans="1:13">
      <c r="A568" s="19"/>
      <c r="B568" s="56" t="e">
        <f>#REF!</f>
        <v>#REF!</v>
      </c>
      <c r="C568" s="62">
        <v>1</v>
      </c>
      <c r="D568" s="57" t="s">
        <v>1567</v>
      </c>
      <c r="E568" s="61">
        <f>775/1.18</f>
        <v>656.77966101694915</v>
      </c>
      <c r="F568" s="61">
        <f>+E568*0.18</f>
        <v>118.22033898305084</v>
      </c>
      <c r="G568" s="17">
        <f>+C568*E568+C568*F568</f>
        <v>775</v>
      </c>
      <c r="H568" s="12"/>
    </row>
    <row r="569" spans="1:13" ht="15.75" thickBot="1">
      <c r="A569" s="21"/>
      <c r="B569" s="22"/>
      <c r="C569" s="23"/>
      <c r="D569" s="24" t="s">
        <v>111</v>
      </c>
      <c r="E569" s="78"/>
      <c r="F569" s="79"/>
      <c r="G569" s="26">
        <f>SUM(G568:G568)</f>
        <v>775</v>
      </c>
      <c r="H569" s="27" t="s">
        <v>1567</v>
      </c>
    </row>
    <row r="570" spans="1:13" ht="15.75" thickTop="1">
      <c r="B570" s="55"/>
      <c r="K570">
        <f>1.2*3.281</f>
        <v>3.9371999999999998</v>
      </c>
    </row>
    <row r="571" spans="1:13">
      <c r="A571" s="4"/>
      <c r="B571" s="370" t="e">
        <f>#REF!</f>
        <v>#REF!</v>
      </c>
      <c r="C571" s="370"/>
      <c r="D571" s="370"/>
      <c r="E571" s="370"/>
      <c r="F571" s="370"/>
      <c r="G571" s="370"/>
      <c r="H571" s="370"/>
      <c r="K571">
        <v>6.8901000000000003</v>
      </c>
    </row>
    <row r="572" spans="1:13">
      <c r="A572" s="6"/>
      <c r="B572" s="7"/>
      <c r="C572" s="8" t="s">
        <v>98</v>
      </c>
      <c r="D572" s="9" t="s">
        <v>39</v>
      </c>
      <c r="E572" s="74" t="s">
        <v>99</v>
      </c>
      <c r="F572" s="75" t="s">
        <v>100</v>
      </c>
      <c r="G572" s="11" t="s">
        <v>101</v>
      </c>
      <c r="H572" s="12"/>
      <c r="K572">
        <f>+K570*K571</f>
        <v>27.127701720000001</v>
      </c>
    </row>
    <row r="573" spans="1:13">
      <c r="A573" s="19"/>
      <c r="B573" s="60" t="e">
        <f>+B571</f>
        <v>#REF!</v>
      </c>
      <c r="C573" s="62">
        <v>1</v>
      </c>
      <c r="D573" s="57" t="s">
        <v>1567</v>
      </c>
      <c r="E573" s="61">
        <f>775/1.18</f>
        <v>656.77966101694915</v>
      </c>
      <c r="F573" s="61">
        <f>+E573*0.18</f>
        <v>118.22033898305084</v>
      </c>
      <c r="G573" s="17">
        <f>+C573*E573+C573*F573</f>
        <v>775</v>
      </c>
      <c r="H573" s="12"/>
    </row>
    <row r="574" spans="1:13" ht="15.75" thickBot="1">
      <c r="A574" s="21"/>
      <c r="B574" s="22"/>
      <c r="C574" s="23"/>
      <c r="D574" s="24" t="s">
        <v>111</v>
      </c>
      <c r="E574" s="78"/>
      <c r="F574" s="79"/>
      <c r="G574" s="26">
        <f>SUM(G573:G573)</f>
        <v>775</v>
      </c>
      <c r="H574" s="27" t="str">
        <f>+D573</f>
        <v>p2</v>
      </c>
      <c r="M574">
        <f>4*8</f>
        <v>32</v>
      </c>
    </row>
    <row r="575" spans="1:13" ht="15.75" thickTop="1"/>
    <row r="576" spans="1:13">
      <c r="A576" s="53"/>
      <c r="B576" s="53" t="s">
        <v>32</v>
      </c>
      <c r="C576" s="54"/>
      <c r="D576" s="54"/>
      <c r="E576" s="72"/>
      <c r="F576" s="72"/>
      <c r="G576" s="54"/>
      <c r="H576" s="54"/>
    </row>
    <row r="577" spans="1:11">
      <c r="B577" s="55"/>
      <c r="K577">
        <f>1.2*3.281</f>
        <v>3.9371999999999998</v>
      </c>
    </row>
    <row r="578" spans="1:11">
      <c r="A578" s="4"/>
      <c r="B578" s="370" t="e">
        <f>#REF!</f>
        <v>#REF!</v>
      </c>
      <c r="C578" s="370"/>
      <c r="D578" s="370"/>
      <c r="E578" s="370"/>
      <c r="F578" s="370"/>
      <c r="G578" s="370"/>
      <c r="H578" s="370"/>
      <c r="K578">
        <v>6.8901000000000003</v>
      </c>
    </row>
    <row r="579" spans="1:11">
      <c r="A579" s="6"/>
      <c r="B579" s="7"/>
      <c r="C579" s="8" t="s">
        <v>98</v>
      </c>
      <c r="D579" s="9" t="s">
        <v>39</v>
      </c>
      <c r="E579" s="74" t="s">
        <v>99</v>
      </c>
      <c r="F579" s="75" t="s">
        <v>100</v>
      </c>
      <c r="G579" s="11" t="s">
        <v>101</v>
      </c>
      <c r="H579" s="12"/>
      <c r="K579">
        <f>+K577*K578</f>
        <v>27.127701720000001</v>
      </c>
    </row>
    <row r="580" spans="1:11">
      <c r="A580" s="19"/>
      <c r="B580" s="60" t="e">
        <f>+B578</f>
        <v>#REF!</v>
      </c>
      <c r="C580" s="62">
        <v>1</v>
      </c>
      <c r="D580" s="57" t="s">
        <v>1567</v>
      </c>
      <c r="E580" s="61">
        <f>Materiales!$D$1356</f>
        <v>249.43220338983048</v>
      </c>
      <c r="F580" s="61">
        <f>+E580*0.18</f>
        <v>44.897796610169486</v>
      </c>
      <c r="G580" s="17">
        <f>+C580*E580+C580*F580</f>
        <v>294.33</v>
      </c>
      <c r="H580" s="12"/>
    </row>
    <row r="581" spans="1:11" ht="15.75" thickBot="1">
      <c r="A581" s="21"/>
      <c r="B581" s="22"/>
      <c r="C581" s="23"/>
      <c r="D581" s="24" t="s">
        <v>111</v>
      </c>
      <c r="E581" s="78"/>
      <c r="F581" s="79"/>
      <c r="G581" s="26">
        <f>SUM(G580:G580)</f>
        <v>294.33</v>
      </c>
      <c r="H581" s="27" t="str">
        <f>+D580</f>
        <v>p2</v>
      </c>
    </row>
    <row r="582" spans="1:11" ht="16.5" customHeight="1" thickTop="1">
      <c r="B582" s="55"/>
      <c r="K582">
        <f>1.2*3.281</f>
        <v>3.9371999999999998</v>
      </c>
    </row>
    <row r="583" spans="1:11">
      <c r="A583" s="4"/>
      <c r="B583" s="370" t="e">
        <f>#REF!</f>
        <v>#REF!</v>
      </c>
      <c r="C583" s="370"/>
      <c r="D583" s="370"/>
      <c r="E583" s="370"/>
      <c r="F583" s="370"/>
      <c r="G583" s="370"/>
      <c r="H583" s="370"/>
      <c r="K583">
        <v>6.8901000000000003</v>
      </c>
    </row>
    <row r="584" spans="1:11">
      <c r="A584" s="6"/>
      <c r="B584" s="7"/>
      <c r="C584" s="8" t="s">
        <v>98</v>
      </c>
      <c r="D584" s="9" t="s">
        <v>39</v>
      </c>
      <c r="E584" s="74" t="s">
        <v>99</v>
      </c>
      <c r="F584" s="75" t="s">
        <v>100</v>
      </c>
      <c r="G584" s="11" t="s">
        <v>101</v>
      </c>
      <c r="H584" s="12"/>
      <c r="K584">
        <f>+K582*K583</f>
        <v>27.127701720000001</v>
      </c>
    </row>
    <row r="585" spans="1:11">
      <c r="A585" s="19"/>
      <c r="B585" s="60" t="e">
        <f>+B583</f>
        <v>#REF!</v>
      </c>
      <c r="C585" s="62">
        <v>1</v>
      </c>
      <c r="D585" s="57" t="s">
        <v>1567</v>
      </c>
      <c r="E585" s="61">
        <f>Materiales!$D$1356</f>
        <v>249.43220338983048</v>
      </c>
      <c r="F585" s="61">
        <f>+E585*0.18</f>
        <v>44.897796610169486</v>
      </c>
      <c r="G585" s="17">
        <f>+C585*E585+C585*F585</f>
        <v>294.33</v>
      </c>
      <c r="H585" s="12"/>
    </row>
    <row r="586" spans="1:11" ht="15.75" thickBot="1">
      <c r="A586" s="21"/>
      <c r="B586" s="22"/>
      <c r="C586" s="23"/>
      <c r="D586" s="24" t="s">
        <v>111</v>
      </c>
      <c r="E586" s="78"/>
      <c r="F586" s="79"/>
      <c r="G586" s="26">
        <f>SUM(G585:G585)</f>
        <v>294.33</v>
      </c>
      <c r="H586" s="27" t="str">
        <f>+D585</f>
        <v>p2</v>
      </c>
    </row>
    <row r="587" spans="1:11" ht="16.5" customHeight="1" thickTop="1">
      <c r="B587" s="55"/>
      <c r="K587">
        <f>1.2*3.281</f>
        <v>3.9371999999999998</v>
      </c>
    </row>
    <row r="588" spans="1:11">
      <c r="A588" s="4"/>
      <c r="B588" s="370" t="e">
        <f>#REF!</f>
        <v>#REF!</v>
      </c>
      <c r="C588" s="370"/>
      <c r="D588" s="370"/>
      <c r="E588" s="370"/>
      <c r="F588" s="370"/>
      <c r="G588" s="370"/>
      <c r="H588" s="370"/>
      <c r="K588">
        <v>6.8901000000000003</v>
      </c>
    </row>
    <row r="589" spans="1:11">
      <c r="A589" s="6"/>
      <c r="B589" s="7"/>
      <c r="C589" s="8" t="s">
        <v>98</v>
      </c>
      <c r="D589" s="9" t="s">
        <v>39</v>
      </c>
      <c r="E589" s="74" t="s">
        <v>99</v>
      </c>
      <c r="F589" s="75" t="s">
        <v>100</v>
      </c>
      <c r="G589" s="11" t="s">
        <v>101</v>
      </c>
      <c r="H589" s="12"/>
      <c r="K589">
        <f>+K587*K588</f>
        <v>27.127701720000001</v>
      </c>
    </row>
    <row r="590" spans="1:11">
      <c r="A590" s="19"/>
      <c r="B590" s="60" t="e">
        <f>+B588</f>
        <v>#REF!</v>
      </c>
      <c r="C590" s="62">
        <v>1</v>
      </c>
      <c r="D590" s="57" t="s">
        <v>1567</v>
      </c>
      <c r="E590" s="61">
        <f>Materiales!$D$1356</f>
        <v>249.43220338983048</v>
      </c>
      <c r="F590" s="61">
        <f>+E590*0.18</f>
        <v>44.897796610169486</v>
      </c>
      <c r="G590" s="17">
        <f>+C590*E590+C590*F590</f>
        <v>294.33</v>
      </c>
      <c r="H590" s="12"/>
    </row>
    <row r="591" spans="1:11" ht="15.75" thickBot="1">
      <c r="A591" s="21"/>
      <c r="B591" s="22"/>
      <c r="C591" s="23"/>
      <c r="D591" s="24" t="s">
        <v>111</v>
      </c>
      <c r="E591" s="78"/>
      <c r="F591" s="79"/>
      <c r="G591" s="26">
        <f>SUM(G590:G590)</f>
        <v>294.33</v>
      </c>
      <c r="H591" s="27" t="str">
        <f>+D590</f>
        <v>p2</v>
      </c>
      <c r="K591">
        <f>1.9*1.5*3.281*3.281</f>
        <v>30.680138849999999</v>
      </c>
    </row>
    <row r="592" spans="1:11" ht="15.75" thickTop="1">
      <c r="B592" s="55"/>
      <c r="K592">
        <f>1.2*3.281</f>
        <v>3.9371999999999998</v>
      </c>
    </row>
    <row r="593" spans="1:17">
      <c r="A593" s="4"/>
      <c r="B593" s="370" t="e">
        <f>#REF!</f>
        <v>#REF!</v>
      </c>
      <c r="C593" s="370"/>
      <c r="D593" s="370"/>
      <c r="E593" s="370"/>
      <c r="F593" s="370"/>
      <c r="G593" s="370"/>
      <c r="H593" s="370"/>
      <c r="K593">
        <v>6.8901000000000003</v>
      </c>
    </row>
    <row r="594" spans="1:17">
      <c r="A594" s="6"/>
      <c r="B594" s="7"/>
      <c r="C594" s="8" t="s">
        <v>98</v>
      </c>
      <c r="D594" s="9" t="s">
        <v>39</v>
      </c>
      <c r="E594" s="74" t="s">
        <v>99</v>
      </c>
      <c r="F594" s="75" t="s">
        <v>100</v>
      </c>
      <c r="G594" s="11" t="s">
        <v>101</v>
      </c>
      <c r="H594" s="12"/>
      <c r="K594">
        <f>+K592*K593</f>
        <v>27.127701720000001</v>
      </c>
    </row>
    <row r="595" spans="1:17">
      <c r="A595" s="19"/>
      <c r="B595" s="60" t="e">
        <f>+B593</f>
        <v>#REF!</v>
      </c>
      <c r="C595" s="62">
        <v>1</v>
      </c>
      <c r="D595" s="57" t="s">
        <v>1567</v>
      </c>
      <c r="E595" s="61">
        <f>Materiales!$D$1354</f>
        <v>210.09322033898306</v>
      </c>
      <c r="F595" s="61">
        <f>+E595*0.18</f>
        <v>37.816779661016952</v>
      </c>
      <c r="G595" s="17">
        <f>+C595*E595+C595*F595</f>
        <v>247.91000000000003</v>
      </c>
      <c r="H595" s="12"/>
    </row>
    <row r="596" spans="1:17" ht="15.75" thickBot="1">
      <c r="A596" s="21"/>
      <c r="B596" s="22"/>
      <c r="C596" s="23"/>
      <c r="D596" s="24" t="s">
        <v>111</v>
      </c>
      <c r="E596" s="78"/>
      <c r="F596" s="79"/>
      <c r="G596" s="26">
        <f>SUM(G595:G595)</f>
        <v>247.91000000000003</v>
      </c>
      <c r="H596" s="27" t="str">
        <f>+D595</f>
        <v>p2</v>
      </c>
    </row>
    <row r="597" spans="1:17" ht="15.75" thickTop="1">
      <c r="B597" s="55"/>
      <c r="K597">
        <f>1.2*3.281</f>
        <v>3.9371999999999998</v>
      </c>
    </row>
    <row r="598" spans="1:17">
      <c r="A598" s="4"/>
      <c r="B598" s="370" t="e">
        <f>#REF!</f>
        <v>#REF!</v>
      </c>
      <c r="C598" s="370"/>
      <c r="D598" s="370"/>
      <c r="E598" s="370"/>
      <c r="F598" s="370"/>
      <c r="G598" s="370"/>
      <c r="H598" s="370"/>
      <c r="K598">
        <v>6.8901000000000003</v>
      </c>
    </row>
    <row r="599" spans="1:17">
      <c r="A599" s="6"/>
      <c r="B599" s="7"/>
      <c r="C599" s="8" t="s">
        <v>98</v>
      </c>
      <c r="D599" s="9" t="s">
        <v>39</v>
      </c>
      <c r="E599" s="74" t="s">
        <v>99</v>
      </c>
      <c r="F599" s="75" t="s">
        <v>100</v>
      </c>
      <c r="G599" s="11" t="s">
        <v>101</v>
      </c>
      <c r="H599" s="12"/>
      <c r="K599">
        <f>+K597*K598</f>
        <v>27.127701720000001</v>
      </c>
    </row>
    <row r="600" spans="1:17">
      <c r="A600" s="19"/>
      <c r="B600" s="60" t="e">
        <f>+B598</f>
        <v>#REF!</v>
      </c>
      <c r="C600" s="62">
        <v>1</v>
      </c>
      <c r="D600" s="57" t="s">
        <v>1567</v>
      </c>
      <c r="E600" s="61">
        <f>380/1.18</f>
        <v>322.03389830508479</v>
      </c>
      <c r="F600" s="61">
        <f>+E600*0.18</f>
        <v>57.96610169491526</v>
      </c>
      <c r="G600" s="17">
        <f>+C600*E600+C600*F600</f>
        <v>380.00000000000006</v>
      </c>
      <c r="H600" s="12"/>
    </row>
    <row r="601" spans="1:17" ht="15.75" thickBot="1">
      <c r="A601" s="21"/>
      <c r="B601" s="22"/>
      <c r="C601" s="23"/>
      <c r="D601" s="24" t="s">
        <v>111</v>
      </c>
      <c r="E601" s="78"/>
      <c r="F601" s="79"/>
      <c r="G601" s="26">
        <f>SUM(G600:G600)</f>
        <v>380.00000000000006</v>
      </c>
      <c r="H601" s="27" t="str">
        <f>+D600</f>
        <v>p2</v>
      </c>
    </row>
    <row r="602" spans="1:17" ht="15.75" thickTop="1">
      <c r="B602" s="55"/>
      <c r="K602">
        <f>1.2*3.281</f>
        <v>3.9371999999999998</v>
      </c>
    </row>
    <row r="603" spans="1:17">
      <c r="A603" s="53"/>
      <c r="B603" s="53" t="s">
        <v>1555</v>
      </c>
      <c r="C603" s="54"/>
      <c r="D603" s="54"/>
      <c r="E603" s="72"/>
      <c r="F603" s="72"/>
      <c r="G603" s="54"/>
      <c r="H603" s="54"/>
    </row>
    <row r="604" spans="1:17">
      <c r="B604" s="55"/>
    </row>
    <row r="605" spans="1:17">
      <c r="A605" s="64"/>
      <c r="B605" s="370" t="e">
        <f>#REF!</f>
        <v>#REF!</v>
      </c>
      <c r="C605" s="370"/>
      <c r="D605" s="370"/>
      <c r="E605" s="370"/>
      <c r="F605" s="370"/>
      <c r="G605" s="370"/>
      <c r="H605" s="370"/>
      <c r="J605">
        <v>1.008</v>
      </c>
    </row>
    <row r="606" spans="1:17">
      <c r="A606" s="6"/>
      <c r="B606" s="7"/>
      <c r="C606" s="8" t="s">
        <v>98</v>
      </c>
      <c r="D606" s="9" t="s">
        <v>39</v>
      </c>
      <c r="E606" s="74" t="s">
        <v>99</v>
      </c>
      <c r="F606" s="75" t="s">
        <v>100</v>
      </c>
      <c r="G606" s="11" t="s">
        <v>101</v>
      </c>
      <c r="H606" s="12"/>
      <c r="J606">
        <f>1.6/0.15</f>
        <v>10.666666666666668</v>
      </c>
      <c r="K606">
        <v>11</v>
      </c>
      <c r="L606">
        <v>1.4</v>
      </c>
      <c r="M606">
        <v>3.2810000000000001</v>
      </c>
      <c r="N606">
        <v>0.66700000000000004</v>
      </c>
      <c r="O606">
        <f>+K606*L606*M606*N606/100</f>
        <v>0.337017758</v>
      </c>
    </row>
    <row r="607" spans="1:17">
      <c r="A607" s="19"/>
      <c r="B607" s="60" t="e">
        <f>+B605</f>
        <v>#REF!</v>
      </c>
      <c r="C607" s="62">
        <v>1</v>
      </c>
      <c r="D607" s="57" t="s">
        <v>30</v>
      </c>
      <c r="E607" s="61">
        <f>Materiales!$D$1376/3.281/3.281</f>
        <v>372.20568295760188</v>
      </c>
      <c r="F607" s="61">
        <f>+E607*0.18</f>
        <v>66.997022932368338</v>
      </c>
      <c r="G607" s="17">
        <f t="shared" ref="G607" si="62">+C607*E607+C607*F607</f>
        <v>439.20270588997022</v>
      </c>
      <c r="H607" s="12"/>
      <c r="O607">
        <f>SUM(O606:O606)</f>
        <v>0.337017758</v>
      </c>
      <c r="P607">
        <f>+O607*1.05</f>
        <v>0.3538686459</v>
      </c>
      <c r="Q607">
        <f>+P607/J605</f>
        <v>0.35106016458333333</v>
      </c>
    </row>
    <row r="608" spans="1:17" ht="15.75" thickBot="1">
      <c r="A608" s="21"/>
      <c r="B608" s="22"/>
      <c r="C608" s="23"/>
      <c r="D608" s="24" t="s">
        <v>111</v>
      </c>
      <c r="E608" s="78"/>
      <c r="F608" s="79"/>
      <c r="G608" s="26">
        <f>SUM(G607:G607)</f>
        <v>439.20270588997022</v>
      </c>
      <c r="H608" s="27" t="s">
        <v>1567</v>
      </c>
    </row>
    <row r="609" spans="1:17" ht="15.75" thickTop="1">
      <c r="B609" s="55"/>
    </row>
    <row r="610" spans="1:17">
      <c r="A610" s="64"/>
      <c r="B610" s="370" t="e">
        <f>#REF!</f>
        <v>#REF!</v>
      </c>
      <c r="C610" s="370"/>
      <c r="D610" s="370"/>
      <c r="E610" s="370"/>
      <c r="F610" s="370"/>
      <c r="G610" s="370"/>
      <c r="H610" s="370"/>
      <c r="J610">
        <v>1.008</v>
      </c>
    </row>
    <row r="611" spans="1:17">
      <c r="A611" s="6"/>
      <c r="B611" s="7"/>
      <c r="C611" s="8" t="s">
        <v>98</v>
      </c>
      <c r="D611" s="9" t="s">
        <v>39</v>
      </c>
      <c r="E611" s="74" t="s">
        <v>99</v>
      </c>
      <c r="F611" s="75" t="s">
        <v>100</v>
      </c>
      <c r="G611" s="11" t="s">
        <v>101</v>
      </c>
      <c r="H611" s="12"/>
      <c r="J611">
        <f>1.6/0.15</f>
        <v>10.666666666666668</v>
      </c>
      <c r="K611">
        <v>11</v>
      </c>
      <c r="L611">
        <v>1.4</v>
      </c>
      <c r="M611">
        <v>3.2810000000000001</v>
      </c>
      <c r="N611">
        <v>0.66700000000000004</v>
      </c>
      <c r="O611">
        <f>+K611*L611*M611*N611/100</f>
        <v>0.337017758</v>
      </c>
    </row>
    <row r="612" spans="1:17">
      <c r="A612" s="19"/>
      <c r="B612" s="56" t="s">
        <v>1556</v>
      </c>
      <c r="C612" s="62">
        <v>1</v>
      </c>
      <c r="D612" s="57" t="s">
        <v>1557</v>
      </c>
      <c r="E612" s="61">
        <f>2750/1.18</f>
        <v>2330.5084745762715</v>
      </c>
      <c r="F612" s="61">
        <f>+E612*0.18</f>
        <v>419.49152542372883</v>
      </c>
      <c r="G612" s="17">
        <f t="shared" ref="G612" si="63">+C612*E612+C612*F612</f>
        <v>2750.0000000000005</v>
      </c>
      <c r="H612" s="12"/>
      <c r="O612">
        <f>SUM(O611:O611)</f>
        <v>0.337017758</v>
      </c>
      <c r="P612">
        <f>+O612*1.05</f>
        <v>0.3538686459</v>
      </c>
      <c r="Q612">
        <f>+P612/J610</f>
        <v>0.35106016458333333</v>
      </c>
    </row>
    <row r="613" spans="1:17" ht="15.75" thickBot="1">
      <c r="A613" s="21"/>
      <c r="B613" s="22"/>
      <c r="C613" s="23"/>
      <c r="D613" s="24" t="s">
        <v>111</v>
      </c>
      <c r="E613" s="78"/>
      <c r="F613" s="79"/>
      <c r="G613" s="26">
        <f>SUM(G612:G612)</f>
        <v>2750.0000000000005</v>
      </c>
      <c r="H613" s="27" t="s">
        <v>1557</v>
      </c>
    </row>
    <row r="614" spans="1:17" ht="15.75" thickTop="1">
      <c r="B614" s="55"/>
    </row>
    <row r="615" spans="1:17">
      <c r="A615" s="64"/>
      <c r="B615" s="370" t="e">
        <f>#REF!</f>
        <v>#REF!</v>
      </c>
      <c r="C615" s="370"/>
      <c r="D615" s="370"/>
      <c r="E615" s="370"/>
      <c r="F615" s="370"/>
      <c r="G615" s="370"/>
      <c r="H615" s="370"/>
      <c r="J615">
        <v>1.008</v>
      </c>
    </row>
    <row r="616" spans="1:17">
      <c r="A616" s="6"/>
      <c r="B616" s="7"/>
      <c r="C616" s="8" t="s">
        <v>98</v>
      </c>
      <c r="D616" s="9" t="s">
        <v>39</v>
      </c>
      <c r="E616" s="74" t="s">
        <v>99</v>
      </c>
      <c r="F616" s="75" t="s">
        <v>100</v>
      </c>
      <c r="G616" s="11" t="s">
        <v>101</v>
      </c>
      <c r="H616" s="12"/>
      <c r="J616">
        <f>1.6/0.15</f>
        <v>10.666666666666668</v>
      </c>
      <c r="K616">
        <v>11</v>
      </c>
      <c r="L616">
        <v>1.4</v>
      </c>
      <c r="M616">
        <v>3.2810000000000001</v>
      </c>
      <c r="N616">
        <v>0.66700000000000004</v>
      </c>
      <c r="O616">
        <f>+K616*L616*M616*N616/100</f>
        <v>0.337017758</v>
      </c>
    </row>
    <row r="617" spans="1:17">
      <c r="A617" s="19"/>
      <c r="B617" s="56" t="s">
        <v>1558</v>
      </c>
      <c r="C617" s="62">
        <v>1</v>
      </c>
      <c r="D617" s="57" t="s">
        <v>1557</v>
      </c>
      <c r="E617" s="61">
        <f>2750/1.18</f>
        <v>2330.5084745762715</v>
      </c>
      <c r="F617" s="61">
        <f>+E617*0.18</f>
        <v>419.49152542372883</v>
      </c>
      <c r="G617" s="17">
        <f t="shared" ref="G617" si="64">+C617*E617+C617*F617</f>
        <v>2750.0000000000005</v>
      </c>
      <c r="H617" s="12"/>
      <c r="O617">
        <f>SUM(O616:O616)</f>
        <v>0.337017758</v>
      </c>
      <c r="P617">
        <f>+O617*1.05</f>
        <v>0.3538686459</v>
      </c>
      <c r="Q617">
        <f>+P617/J615</f>
        <v>0.35106016458333333</v>
      </c>
    </row>
    <row r="618" spans="1:17" ht="15.75" thickBot="1">
      <c r="A618" s="21"/>
      <c r="B618" s="22"/>
      <c r="C618" s="23"/>
      <c r="D618" s="24" t="s">
        <v>111</v>
      </c>
      <c r="E618" s="78"/>
      <c r="F618" s="79"/>
      <c r="G618" s="26">
        <f>SUM(G617:G617)</f>
        <v>2750.0000000000005</v>
      </c>
      <c r="H618" s="27" t="s">
        <v>1557</v>
      </c>
    </row>
    <row r="619" spans="1:17" ht="15.75" thickTop="1">
      <c r="B619" s="55"/>
    </row>
    <row r="620" spans="1:17">
      <c r="A620" s="64"/>
      <c r="B620" s="370" t="e">
        <f>#REF!</f>
        <v>#REF!</v>
      </c>
      <c r="C620" s="370"/>
      <c r="D620" s="370"/>
      <c r="E620" s="370"/>
      <c r="F620" s="370"/>
      <c r="G620" s="370"/>
      <c r="H620" s="370"/>
    </row>
    <row r="621" spans="1:17">
      <c r="A621" s="6"/>
      <c r="B621" s="7"/>
      <c r="C621" s="8" t="s">
        <v>98</v>
      </c>
      <c r="D621" s="9" t="s">
        <v>39</v>
      </c>
      <c r="E621" s="74" t="s">
        <v>99</v>
      </c>
      <c r="F621" s="75" t="s">
        <v>100</v>
      </c>
      <c r="G621" s="11" t="s">
        <v>101</v>
      </c>
      <c r="H621" s="12"/>
      <c r="N621">
        <v>0.66700000000000004</v>
      </c>
      <c r="O621">
        <f>+K621*L621*M621*N621/100</f>
        <v>0</v>
      </c>
    </row>
    <row r="622" spans="1:17">
      <c r="A622" s="19"/>
      <c r="B622" s="56" t="s">
        <v>1649</v>
      </c>
      <c r="C622" s="62">
        <v>1.1200000000000001</v>
      </c>
      <c r="D622" s="57" t="s">
        <v>9</v>
      </c>
      <c r="E622" s="61">
        <f>Materiales!$D$1385</f>
        <v>1101.6949152542372</v>
      </c>
      <c r="F622" s="61">
        <f>+E622*0.18</f>
        <v>198.30508474576268</v>
      </c>
      <c r="G622" s="17">
        <f t="shared" ref="G622:G630" si="65">+C622*E622+C622*F622</f>
        <v>1456</v>
      </c>
      <c r="H622" s="12"/>
      <c r="O622">
        <f>SUM(O621:O621)</f>
        <v>0</v>
      </c>
      <c r="P622">
        <f>+O622*1.05</f>
        <v>0</v>
      </c>
      <c r="Q622" t="e">
        <f>+P622/J620</f>
        <v>#DIV/0!</v>
      </c>
    </row>
    <row r="623" spans="1:17">
      <c r="A623" s="19"/>
      <c r="B623" s="56" t="s">
        <v>1548</v>
      </c>
      <c r="C623" s="62">
        <v>0.14000000000000001</v>
      </c>
      <c r="D623" s="57" t="s">
        <v>129</v>
      </c>
      <c r="E623" s="61">
        <f>Materiales!$D$8</f>
        <v>218.64406779661016</v>
      </c>
      <c r="F623" s="61">
        <v>39.36</v>
      </c>
      <c r="G623" s="17">
        <f t="shared" si="65"/>
        <v>36.12056949152543</v>
      </c>
      <c r="H623" s="18"/>
    </row>
    <row r="624" spans="1:17">
      <c r="A624" s="19"/>
      <c r="B624" s="56" t="s">
        <v>1549</v>
      </c>
      <c r="C624" s="62">
        <v>0.05</v>
      </c>
      <c r="D624" s="57" t="s">
        <v>129</v>
      </c>
      <c r="E624" s="61">
        <f>Materiales!$D$5</f>
        <v>389.83050847457628</v>
      </c>
      <c r="F624" s="61">
        <f>+E624*0.18</f>
        <v>70.169491525423723</v>
      </c>
      <c r="G624" s="17">
        <f t="shared" si="65"/>
        <v>23.000000000000004</v>
      </c>
      <c r="H624" s="12"/>
    </row>
    <row r="625" spans="1:17">
      <c r="A625" s="19"/>
      <c r="B625" s="56" t="s">
        <v>1542</v>
      </c>
      <c r="C625" s="62">
        <v>3.0000000000000001E-3</v>
      </c>
      <c r="D625" s="57" t="s">
        <v>129</v>
      </c>
      <c r="E625" s="61">
        <v>1016.95</v>
      </c>
      <c r="F625" s="61">
        <v>183.05</v>
      </c>
      <c r="G625" s="17">
        <f t="shared" si="65"/>
        <v>3.6</v>
      </c>
      <c r="H625" s="12"/>
    </row>
    <row r="626" spans="1:17">
      <c r="A626" s="19"/>
      <c r="B626" s="56" t="s">
        <v>1550</v>
      </c>
      <c r="C626" s="62">
        <v>0.05</v>
      </c>
      <c r="D626" s="57" t="s">
        <v>178</v>
      </c>
      <c r="E626" s="61">
        <f>Materiales!$D$1303</f>
        <v>1016.9491525423729</v>
      </c>
      <c r="F626" s="61">
        <v>11.44</v>
      </c>
      <c r="G626" s="17">
        <f t="shared" si="65"/>
        <v>51.419457627118646</v>
      </c>
      <c r="H626" s="12"/>
    </row>
    <row r="627" spans="1:17">
      <c r="A627" s="19"/>
      <c r="B627" s="56" t="s">
        <v>1551</v>
      </c>
      <c r="C627" s="62">
        <v>4.5</v>
      </c>
      <c r="D627" s="57" t="s">
        <v>3</v>
      </c>
      <c r="E627" s="61">
        <f>Materiales!$D$1299</f>
        <v>63.559322033898304</v>
      </c>
      <c r="F627" s="61">
        <v>5.34</v>
      </c>
      <c r="G627" s="17">
        <f t="shared" si="65"/>
        <v>310.04694915254242</v>
      </c>
      <c r="H627" s="12"/>
    </row>
    <row r="628" spans="1:17">
      <c r="A628" s="19"/>
      <c r="B628" s="56" t="s">
        <v>1552</v>
      </c>
      <c r="C628" s="62">
        <v>0.05</v>
      </c>
      <c r="D628" s="57" t="s">
        <v>129</v>
      </c>
      <c r="E628" s="61">
        <v>250</v>
      </c>
      <c r="F628" s="61">
        <f>+E628*0.18</f>
        <v>45</v>
      </c>
      <c r="G628" s="17">
        <f t="shared" si="65"/>
        <v>14.75</v>
      </c>
      <c r="H628" s="12"/>
    </row>
    <row r="629" spans="1:17">
      <c r="A629" s="19"/>
      <c r="B629" s="56" t="s">
        <v>1553</v>
      </c>
      <c r="C629" s="62">
        <v>1</v>
      </c>
      <c r="D629" s="57" t="s">
        <v>12</v>
      </c>
      <c r="E629" s="61">
        <f>+G622*0.03</f>
        <v>43.68</v>
      </c>
      <c r="F629" s="61">
        <v>0</v>
      </c>
      <c r="G629" s="17">
        <f t="shared" si="65"/>
        <v>43.68</v>
      </c>
      <c r="H629" s="12"/>
    </row>
    <row r="630" spans="1:17">
      <c r="A630" s="19"/>
      <c r="B630" s="56" t="s">
        <v>1554</v>
      </c>
      <c r="C630" s="62">
        <v>1</v>
      </c>
      <c r="D630" s="57" t="s">
        <v>9</v>
      </c>
      <c r="E630" s="61">
        <v>453.12</v>
      </c>
      <c r="F630" s="61"/>
      <c r="G630" s="17">
        <f t="shared" si="65"/>
        <v>453.12</v>
      </c>
      <c r="H630" s="12"/>
    </row>
    <row r="631" spans="1:17" ht="15.75" thickBot="1">
      <c r="A631" s="21"/>
      <c r="B631" s="22"/>
      <c r="C631" s="23"/>
      <c r="D631" s="24" t="s">
        <v>111</v>
      </c>
      <c r="E631" s="78"/>
      <c r="F631" s="79"/>
      <c r="G631" s="26">
        <f>SUM(G622:G630)</f>
        <v>2391.7369762711864</v>
      </c>
      <c r="H631" s="27" t="s">
        <v>21</v>
      </c>
    </row>
    <row r="632" spans="1:17" ht="15.75" thickTop="1"/>
    <row r="633" spans="1:17">
      <c r="A633" s="53"/>
      <c r="B633" s="53" t="s">
        <v>34</v>
      </c>
      <c r="C633" s="54"/>
      <c r="D633" s="54"/>
      <c r="E633" s="72"/>
      <c r="F633" s="72"/>
      <c r="G633" s="54"/>
      <c r="H633" s="54"/>
    </row>
    <row r="634" spans="1:17">
      <c r="B634" s="55"/>
    </row>
    <row r="635" spans="1:17">
      <c r="A635" s="64"/>
      <c r="B635" s="370" t="s">
        <v>35</v>
      </c>
      <c r="C635" s="370"/>
      <c r="D635" s="370"/>
      <c r="E635" s="370"/>
      <c r="F635" s="370"/>
      <c r="G635" s="370"/>
      <c r="H635" s="370"/>
      <c r="J635">
        <v>1.008</v>
      </c>
    </row>
    <row r="636" spans="1:17">
      <c r="A636" s="6"/>
      <c r="B636" s="7"/>
      <c r="C636" s="8" t="s">
        <v>98</v>
      </c>
      <c r="D636" s="9" t="s">
        <v>39</v>
      </c>
      <c r="E636" s="74" t="s">
        <v>99</v>
      </c>
      <c r="F636" s="75" t="s">
        <v>100</v>
      </c>
      <c r="G636" s="11" t="s">
        <v>101</v>
      </c>
      <c r="H636" s="12"/>
      <c r="J636">
        <f>1.6/0.15</f>
        <v>10.666666666666668</v>
      </c>
      <c r="K636">
        <v>11</v>
      </c>
      <c r="L636">
        <v>1.4</v>
      </c>
      <c r="M636">
        <v>3.2810000000000001</v>
      </c>
      <c r="N636">
        <v>0.66700000000000004</v>
      </c>
      <c r="O636">
        <f>+K636*L636*M636*N636/100</f>
        <v>0.337017758</v>
      </c>
    </row>
    <row r="637" spans="1:17">
      <c r="A637" s="19"/>
      <c r="B637" s="56" t="s">
        <v>1538</v>
      </c>
      <c r="C637" s="62">
        <v>0.08</v>
      </c>
      <c r="D637" s="57" t="s">
        <v>153</v>
      </c>
      <c r="E637" s="61">
        <f>850/1.18</f>
        <v>720.33898305084745</v>
      </c>
      <c r="F637" s="61">
        <f>+E637*0.18</f>
        <v>129.66101694915253</v>
      </c>
      <c r="G637" s="17">
        <f t="shared" ref="G637:G638" si="66">+C637*E637+C637*F637</f>
        <v>68</v>
      </c>
      <c r="H637" s="12"/>
      <c r="O637">
        <f>SUM(O636:O636)</f>
        <v>0.337017758</v>
      </c>
      <c r="P637">
        <f>+O637*1.05</f>
        <v>0.3538686459</v>
      </c>
      <c r="Q637">
        <f>+P637/J635</f>
        <v>0.35106016458333333</v>
      </c>
    </row>
    <row r="638" spans="1:17">
      <c r="A638" s="19"/>
      <c r="B638" s="56" t="s">
        <v>1539</v>
      </c>
      <c r="C638" s="62">
        <v>1</v>
      </c>
      <c r="D638" s="57" t="s">
        <v>9</v>
      </c>
      <c r="E638" s="61">
        <v>40</v>
      </c>
      <c r="F638" s="61"/>
      <c r="G638" s="17">
        <f t="shared" si="66"/>
        <v>40</v>
      </c>
      <c r="H638" s="18"/>
    </row>
    <row r="639" spans="1:17" ht="15.75" thickBot="1">
      <c r="A639" s="21"/>
      <c r="B639" s="22"/>
      <c r="C639" s="23"/>
      <c r="D639" s="24" t="s">
        <v>111</v>
      </c>
      <c r="E639" s="78"/>
      <c r="F639" s="79"/>
      <c r="G639" s="26">
        <f>SUM(G637:G638)</f>
        <v>108</v>
      </c>
      <c r="H639" s="27" t="s">
        <v>21</v>
      </c>
    </row>
    <row r="640" spans="1:17" ht="15.75" thickTop="1">
      <c r="B640" s="55"/>
    </row>
    <row r="641" spans="1:17">
      <c r="A641" s="64"/>
      <c r="B641" s="370" t="e">
        <f>#REF!</f>
        <v>#REF!</v>
      </c>
      <c r="C641" s="370"/>
      <c r="D641" s="370"/>
      <c r="E641" s="370"/>
      <c r="F641" s="370"/>
      <c r="G641" s="370"/>
      <c r="H641" s="370"/>
      <c r="J641">
        <v>1.008</v>
      </c>
    </row>
    <row r="642" spans="1:17">
      <c r="A642" s="6"/>
      <c r="B642" s="7"/>
      <c r="C642" s="8" t="s">
        <v>98</v>
      </c>
      <c r="D642" s="9" t="s">
        <v>39</v>
      </c>
      <c r="E642" s="74" t="s">
        <v>99</v>
      </c>
      <c r="F642" s="75" t="s">
        <v>100</v>
      </c>
      <c r="G642" s="11" t="s">
        <v>101</v>
      </c>
      <c r="H642" s="12"/>
      <c r="J642">
        <f>1.6/0.15</f>
        <v>10.666666666666668</v>
      </c>
      <c r="K642">
        <v>11</v>
      </c>
      <c r="L642">
        <v>1.4</v>
      </c>
      <c r="M642">
        <v>3.2810000000000001</v>
      </c>
      <c r="N642">
        <v>0.66700000000000004</v>
      </c>
      <c r="O642">
        <f>+K642*L642*M642*N642/100</f>
        <v>0.337017758</v>
      </c>
    </row>
    <row r="643" spans="1:17">
      <c r="A643" s="19"/>
      <c r="B643" s="56" t="s">
        <v>1538</v>
      </c>
      <c r="C643" s="62">
        <v>0.08</v>
      </c>
      <c r="D643" s="57" t="s">
        <v>153</v>
      </c>
      <c r="E643" s="61">
        <f>1650/1.18</f>
        <v>1398.3050847457628</v>
      </c>
      <c r="F643" s="61">
        <f>+E643*0.18</f>
        <v>251.69491525423729</v>
      </c>
      <c r="G643" s="17">
        <f t="shared" ref="G643:G645" si="67">+C643*E643+C643*F643</f>
        <v>132</v>
      </c>
      <c r="H643" s="12"/>
      <c r="O643">
        <f>SUM(O642:O642)</f>
        <v>0.337017758</v>
      </c>
      <c r="P643">
        <f>+O643*1.05</f>
        <v>0.3538686459</v>
      </c>
      <c r="Q643">
        <f>+P643/J641</f>
        <v>0.35106016458333333</v>
      </c>
    </row>
    <row r="644" spans="1:17">
      <c r="A644" s="19"/>
      <c r="B644" s="56" t="s">
        <v>1539</v>
      </c>
      <c r="C644" s="62">
        <v>1</v>
      </c>
      <c r="D644" s="57" t="s">
        <v>9</v>
      </c>
      <c r="E644" s="61">
        <v>74.260000000000005</v>
      </c>
      <c r="F644" s="61"/>
      <c r="G644" s="17">
        <f t="shared" si="67"/>
        <v>74.260000000000005</v>
      </c>
      <c r="H644" s="18"/>
    </row>
    <row r="645" spans="1:17">
      <c r="A645" s="19"/>
      <c r="B645" s="56" t="s">
        <v>1540</v>
      </c>
      <c r="C645" s="62">
        <v>0.2</v>
      </c>
      <c r="D645" s="57" t="s">
        <v>47</v>
      </c>
      <c r="E645" s="61">
        <f>SUM(G643:G644)</f>
        <v>206.26</v>
      </c>
      <c r="F645" s="61"/>
      <c r="G645" s="17">
        <f t="shared" si="67"/>
        <v>41.252000000000002</v>
      </c>
      <c r="H645" s="18"/>
    </row>
    <row r="646" spans="1:17" ht="15.75" thickBot="1">
      <c r="A646" s="21"/>
      <c r="B646" s="22"/>
      <c r="C646" s="23"/>
      <c r="D646" s="24" t="s">
        <v>111</v>
      </c>
      <c r="E646" s="78"/>
      <c r="F646" s="79"/>
      <c r="G646" s="26">
        <f>SUM(G643:G645)</f>
        <v>247.512</v>
      </c>
      <c r="H646" s="27" t="s">
        <v>21</v>
      </c>
    </row>
    <row r="647" spans="1:17" ht="15.75" thickTop="1">
      <c r="B647" s="55"/>
    </row>
    <row r="648" spans="1:17">
      <c r="A648" s="64"/>
      <c r="B648" s="370" t="e">
        <f>#REF!</f>
        <v>#REF!</v>
      </c>
      <c r="C648" s="370"/>
      <c r="D648" s="370"/>
      <c r="E648" s="370"/>
      <c r="F648" s="370"/>
      <c r="G648" s="370"/>
      <c r="H648" s="370"/>
      <c r="J648">
        <v>1.008</v>
      </c>
    </row>
    <row r="649" spans="1:17">
      <c r="A649" s="6"/>
      <c r="B649" s="7"/>
      <c r="C649" s="8" t="s">
        <v>98</v>
      </c>
      <c r="D649" s="9" t="s">
        <v>39</v>
      </c>
      <c r="E649" s="74" t="s">
        <v>99</v>
      </c>
      <c r="F649" s="75" t="s">
        <v>100</v>
      </c>
      <c r="G649" s="11" t="s">
        <v>101</v>
      </c>
      <c r="H649" s="12"/>
      <c r="J649">
        <f>1.6/0.15</f>
        <v>10.666666666666668</v>
      </c>
      <c r="K649">
        <v>11</v>
      </c>
      <c r="L649">
        <v>1.4</v>
      </c>
      <c r="M649">
        <v>3.2810000000000001</v>
      </c>
      <c r="N649">
        <v>0.66700000000000004</v>
      </c>
      <c r="O649">
        <f>+K649*L649*M649*N649/100</f>
        <v>0.337017758</v>
      </c>
    </row>
    <row r="650" spans="1:17">
      <c r="A650" s="19"/>
      <c r="B650" s="56" t="s">
        <v>1538</v>
      </c>
      <c r="C650" s="62">
        <v>0.08</v>
      </c>
      <c r="D650" s="57" t="s">
        <v>153</v>
      </c>
      <c r="E650" s="61">
        <f>1650/1.18</f>
        <v>1398.3050847457628</v>
      </c>
      <c r="F650" s="61">
        <f>+E650*0.18</f>
        <v>251.69491525423729</v>
      </c>
      <c r="G650" s="17">
        <f t="shared" ref="G650:G652" si="68">+C650*E650+C650*F650</f>
        <v>132</v>
      </c>
      <c r="H650" s="12"/>
      <c r="O650">
        <f>SUM(O649:O649)</f>
        <v>0.337017758</v>
      </c>
      <c r="P650">
        <f>+O650*1.05</f>
        <v>0.3538686459</v>
      </c>
      <c r="Q650">
        <f>+P650/J648</f>
        <v>0.35106016458333333</v>
      </c>
    </row>
    <row r="651" spans="1:17">
      <c r="A651" s="19"/>
      <c r="B651" s="56" t="s">
        <v>1539</v>
      </c>
      <c r="C651" s="62">
        <v>1</v>
      </c>
      <c r="D651" s="57" t="s">
        <v>9</v>
      </c>
      <c r="E651" s="61">
        <v>74.260000000000005</v>
      </c>
      <c r="F651" s="61"/>
      <c r="G651" s="17">
        <f t="shared" si="68"/>
        <v>74.260000000000005</v>
      </c>
      <c r="H651" s="18"/>
    </row>
    <row r="652" spans="1:17">
      <c r="A652" s="19"/>
      <c r="B652" s="56" t="s">
        <v>1540</v>
      </c>
      <c r="C652" s="62">
        <v>0.2</v>
      </c>
      <c r="D652" s="57" t="s">
        <v>47</v>
      </c>
      <c r="E652" s="61">
        <f>SUM(G650:G651)</f>
        <v>206.26</v>
      </c>
      <c r="F652" s="61"/>
      <c r="G652" s="17">
        <f t="shared" si="68"/>
        <v>41.252000000000002</v>
      </c>
      <c r="H652" s="18"/>
    </row>
    <row r="653" spans="1:17" ht="15.75" thickBot="1">
      <c r="A653" s="21"/>
      <c r="B653" s="22"/>
      <c r="C653" s="23"/>
      <c r="D653" s="24" t="s">
        <v>111</v>
      </c>
      <c r="E653" s="78"/>
      <c r="F653" s="79"/>
      <c r="G653" s="26">
        <f>SUM(G650:G652)</f>
        <v>247.512</v>
      </c>
      <c r="H653" s="27" t="s">
        <v>21</v>
      </c>
    </row>
    <row r="654" spans="1:17" ht="15.75" thickTop="1"/>
    <row r="655" spans="1:17">
      <c r="A655" s="53"/>
      <c r="B655" s="53" t="s">
        <v>1568</v>
      </c>
      <c r="C655" s="54"/>
      <c r="D655" s="54"/>
      <c r="E655" s="72"/>
      <c r="F655" s="72"/>
      <c r="G655" s="54"/>
      <c r="H655" s="54"/>
    </row>
    <row r="656" spans="1:17">
      <c r="B656" s="55"/>
    </row>
    <row r="657" spans="1:17">
      <c r="A657" s="64"/>
      <c r="B657" s="370" t="s">
        <v>38</v>
      </c>
      <c r="C657" s="370"/>
      <c r="D657" s="370"/>
      <c r="E657" s="370"/>
      <c r="F657" s="370"/>
      <c r="G657" s="370"/>
      <c r="H657" s="370"/>
    </row>
    <row r="658" spans="1:17">
      <c r="A658" s="6"/>
      <c r="B658" s="7"/>
      <c r="C658" s="8" t="s">
        <v>98</v>
      </c>
      <c r="D658" s="9" t="s">
        <v>39</v>
      </c>
      <c r="E658" s="74" t="s">
        <v>99</v>
      </c>
      <c r="F658" s="75" t="s">
        <v>100</v>
      </c>
      <c r="G658" s="11" t="s">
        <v>101</v>
      </c>
      <c r="H658" s="12"/>
      <c r="L658">
        <v>1.4</v>
      </c>
      <c r="M658">
        <v>3.2810000000000001</v>
      </c>
      <c r="N658">
        <v>0.66700000000000004</v>
      </c>
      <c r="O658">
        <f>+K658*L658*M658*N658/100</f>
        <v>0</v>
      </c>
    </row>
    <row r="659" spans="1:17">
      <c r="A659" s="19"/>
      <c r="B659" s="56" t="s">
        <v>1041</v>
      </c>
      <c r="C659" s="62">
        <v>1</v>
      </c>
      <c r="D659" s="57" t="s">
        <v>3</v>
      </c>
      <c r="E659" s="61">
        <v>41.53</v>
      </c>
      <c r="F659" s="61">
        <f>+E659*0.18</f>
        <v>7.4753999999999996</v>
      </c>
      <c r="G659" s="17">
        <f t="shared" ref="G659:G671" si="69">+C659*E659+C659*F659</f>
        <v>49.005400000000002</v>
      </c>
      <c r="H659" s="12"/>
      <c r="O659">
        <f>SUM(O658:O658)</f>
        <v>0</v>
      </c>
      <c r="P659">
        <f>+O659*1.05</f>
        <v>0</v>
      </c>
      <c r="Q659" t="e">
        <f>+P659/J657</f>
        <v>#DIV/0!</v>
      </c>
    </row>
    <row r="660" spans="1:17">
      <c r="A660" s="19"/>
      <c r="B660" s="56" t="s">
        <v>1042</v>
      </c>
      <c r="C660" s="62">
        <v>1</v>
      </c>
      <c r="D660" s="57" t="s">
        <v>3</v>
      </c>
      <c r="E660" s="61">
        <v>16.100000000000001</v>
      </c>
      <c r="F660" s="61">
        <f t="shared" ref="F660:F668" si="70">+E660*0.18</f>
        <v>2.8980000000000001</v>
      </c>
      <c r="G660" s="17">
        <f t="shared" si="69"/>
        <v>18.998000000000001</v>
      </c>
      <c r="H660" s="12"/>
    </row>
    <row r="661" spans="1:17">
      <c r="A661" s="19"/>
      <c r="B661" s="56" t="s">
        <v>1044</v>
      </c>
      <c r="C661" s="62">
        <v>1</v>
      </c>
      <c r="D661" s="57" t="s">
        <v>3</v>
      </c>
      <c r="E661" s="61">
        <v>145.76</v>
      </c>
      <c r="F661" s="61">
        <f t="shared" si="70"/>
        <v>26.236799999999999</v>
      </c>
      <c r="G661" s="17">
        <f t="shared" si="69"/>
        <v>171.99679999999998</v>
      </c>
      <c r="H661" s="12"/>
    </row>
    <row r="662" spans="1:17">
      <c r="A662" s="19"/>
      <c r="B662" s="56" t="s">
        <v>1569</v>
      </c>
      <c r="C662" s="62">
        <v>1</v>
      </c>
      <c r="D662" s="57" t="s">
        <v>3</v>
      </c>
      <c r="E662" s="61">
        <v>194.92</v>
      </c>
      <c r="F662" s="61">
        <f t="shared" si="70"/>
        <v>35.085599999999999</v>
      </c>
      <c r="G662" s="17">
        <f t="shared" si="69"/>
        <v>230.00559999999999</v>
      </c>
      <c r="H662" s="12"/>
    </row>
    <row r="663" spans="1:17">
      <c r="A663" s="19"/>
      <c r="B663" s="56" t="s">
        <v>1654</v>
      </c>
      <c r="C663" s="62">
        <v>1</v>
      </c>
      <c r="D663" s="57" t="s">
        <v>3</v>
      </c>
      <c r="E663" s="61">
        <f>3300/1.18</f>
        <v>2796.6101694915255</v>
      </c>
      <c r="F663" s="61">
        <f t="shared" si="70"/>
        <v>503.38983050847457</v>
      </c>
      <c r="G663" s="17">
        <f t="shared" si="69"/>
        <v>3300</v>
      </c>
      <c r="H663" s="12"/>
    </row>
    <row r="664" spans="1:17">
      <c r="A664" s="19"/>
      <c r="B664" s="56" t="s">
        <v>1570</v>
      </c>
      <c r="C664" s="62">
        <v>1</v>
      </c>
      <c r="D664" s="57" t="s">
        <v>3</v>
      </c>
      <c r="E664" s="61">
        <v>66.22</v>
      </c>
      <c r="F664" s="61">
        <f t="shared" si="70"/>
        <v>11.919599999999999</v>
      </c>
      <c r="G664" s="17">
        <f t="shared" si="69"/>
        <v>78.139600000000002</v>
      </c>
      <c r="H664" s="12"/>
    </row>
    <row r="665" spans="1:17">
      <c r="A665" s="19"/>
      <c r="B665" s="56" t="s">
        <v>1571</v>
      </c>
      <c r="C665" s="62">
        <v>1</v>
      </c>
      <c r="D665" s="57" t="s">
        <v>3</v>
      </c>
      <c r="E665" s="61">
        <v>63.56</v>
      </c>
      <c r="F665" s="61">
        <f t="shared" si="70"/>
        <v>11.440799999999999</v>
      </c>
      <c r="G665" s="17">
        <f t="shared" si="69"/>
        <v>75.000799999999998</v>
      </c>
      <c r="H665" s="12"/>
    </row>
    <row r="666" spans="1:17">
      <c r="A666" s="19"/>
      <c r="B666" s="56" t="s">
        <v>1050</v>
      </c>
      <c r="C666" s="62">
        <v>1</v>
      </c>
      <c r="D666" s="57" t="s">
        <v>3</v>
      </c>
      <c r="E666" s="61">
        <v>50</v>
      </c>
      <c r="F666" s="61">
        <f t="shared" si="70"/>
        <v>9</v>
      </c>
      <c r="G666" s="17">
        <f t="shared" si="69"/>
        <v>59</v>
      </c>
      <c r="H666" s="12"/>
    </row>
    <row r="667" spans="1:17">
      <c r="A667" s="19"/>
      <c r="B667" s="56" t="s">
        <v>1572</v>
      </c>
      <c r="C667" s="62">
        <v>0.05</v>
      </c>
      <c r="D667" s="57" t="s">
        <v>129</v>
      </c>
      <c r="E667" s="61">
        <v>788.98</v>
      </c>
      <c r="F667" s="61">
        <f t="shared" si="70"/>
        <v>142.0164</v>
      </c>
      <c r="G667" s="17">
        <f t="shared" si="69"/>
        <v>46.549820000000004</v>
      </c>
      <c r="H667" s="12"/>
    </row>
    <row r="668" spans="1:17">
      <c r="A668" s="19"/>
      <c r="B668" s="56" t="s">
        <v>1573</v>
      </c>
      <c r="C668" s="62">
        <v>0.25</v>
      </c>
      <c r="D668" s="57" t="s">
        <v>3</v>
      </c>
      <c r="E668" s="61">
        <v>18.64</v>
      </c>
      <c r="F668" s="61">
        <f t="shared" si="70"/>
        <v>3.3552</v>
      </c>
      <c r="G668" s="17">
        <f t="shared" si="69"/>
        <v>5.4988000000000001</v>
      </c>
      <c r="H668" s="12"/>
    </row>
    <row r="669" spans="1:17">
      <c r="A669" s="19"/>
      <c r="B669" s="56" t="s">
        <v>1574</v>
      </c>
      <c r="C669" s="62">
        <v>1</v>
      </c>
      <c r="D669" s="57" t="s">
        <v>3</v>
      </c>
      <c r="E669" s="61">
        <v>1716.7600000000002</v>
      </c>
      <c r="F669" s="61"/>
      <c r="G669" s="17">
        <f t="shared" si="69"/>
        <v>1716.7600000000002</v>
      </c>
      <c r="H669" s="12"/>
    </row>
    <row r="670" spans="1:17">
      <c r="A670" s="19"/>
      <c r="B670" s="56" t="s">
        <v>1575</v>
      </c>
      <c r="C670" s="62">
        <v>1</v>
      </c>
      <c r="D670" s="57" t="s">
        <v>3</v>
      </c>
      <c r="E670" s="61">
        <v>2239.4500000000003</v>
      </c>
      <c r="F670" s="61"/>
      <c r="G670" s="17">
        <f t="shared" si="69"/>
        <v>2239.4500000000003</v>
      </c>
      <c r="H670" s="12"/>
    </row>
    <row r="671" spans="1:17">
      <c r="A671" s="19"/>
      <c r="B671" s="56" t="s">
        <v>1576</v>
      </c>
      <c r="C671" s="62">
        <v>1</v>
      </c>
      <c r="D671" s="57" t="s">
        <v>3</v>
      </c>
      <c r="E671" s="61">
        <v>1060.95</v>
      </c>
      <c r="F671" s="61"/>
      <c r="G671" s="17">
        <f t="shared" si="69"/>
        <v>1060.95</v>
      </c>
      <c r="H671" s="12"/>
    </row>
    <row r="672" spans="1:17">
      <c r="A672" s="19"/>
      <c r="B672" s="56"/>
      <c r="C672" s="62"/>
      <c r="D672" s="57"/>
      <c r="E672" s="61"/>
      <c r="F672" s="61"/>
      <c r="G672" s="17"/>
      <c r="H672" s="12"/>
    </row>
    <row r="673" spans="1:17" ht="15.75" thickBot="1">
      <c r="A673" s="21"/>
      <c r="B673" s="22"/>
      <c r="C673" s="23"/>
      <c r="D673" s="24" t="s">
        <v>111</v>
      </c>
      <c r="E673" s="78"/>
      <c r="F673" s="79"/>
      <c r="G673" s="26">
        <f>SUM(G659:G672)</f>
        <v>9051.3548200000005</v>
      </c>
      <c r="H673" s="27" t="s">
        <v>1492</v>
      </c>
    </row>
    <row r="674" spans="1:17" ht="15.75" thickTop="1"/>
    <row r="675" spans="1:17">
      <c r="A675" s="64"/>
      <c r="B675" s="370" t="s">
        <v>1577</v>
      </c>
      <c r="C675" s="370"/>
      <c r="D675" s="370"/>
      <c r="E675" s="370"/>
      <c r="F675" s="370"/>
      <c r="G675" s="370"/>
      <c r="H675" s="370"/>
    </row>
    <row r="676" spans="1:17">
      <c r="A676" s="6"/>
      <c r="B676" s="7"/>
      <c r="C676" s="8" t="s">
        <v>98</v>
      </c>
      <c r="D676" s="9" t="s">
        <v>39</v>
      </c>
      <c r="E676" s="74" t="s">
        <v>99</v>
      </c>
      <c r="F676" s="75" t="s">
        <v>100</v>
      </c>
      <c r="G676" s="11" t="s">
        <v>101</v>
      </c>
      <c r="H676" s="12"/>
      <c r="L676">
        <v>1.4</v>
      </c>
      <c r="M676">
        <v>3.2810000000000001</v>
      </c>
      <c r="N676">
        <v>0.66700000000000004</v>
      </c>
      <c r="O676">
        <f>+K676*L676*M676*N676/100</f>
        <v>0</v>
      </c>
    </row>
    <row r="677" spans="1:17">
      <c r="A677" s="19"/>
      <c r="B677" s="56" t="s">
        <v>1041</v>
      </c>
      <c r="C677" s="62">
        <v>2</v>
      </c>
      <c r="D677" s="57" t="s">
        <v>3</v>
      </c>
      <c r="E677" s="61">
        <v>41.53</v>
      </c>
      <c r="F677" s="61">
        <v>7.48</v>
      </c>
      <c r="G677" s="17">
        <f t="shared" ref="G677:G691" si="71">+C677*E677+C677*F677</f>
        <v>98.02000000000001</v>
      </c>
      <c r="H677" s="12"/>
      <c r="O677">
        <f>SUM(O676:O676)</f>
        <v>0</v>
      </c>
      <c r="P677">
        <f>+O677*1.05</f>
        <v>0</v>
      </c>
      <c r="Q677" t="e">
        <f>+P677/J675</f>
        <v>#DIV/0!</v>
      </c>
    </row>
    <row r="678" spans="1:17">
      <c r="A678" s="19"/>
      <c r="B678" s="56" t="s">
        <v>1042</v>
      </c>
      <c r="C678" s="62">
        <v>2</v>
      </c>
      <c r="D678" s="57" t="s">
        <v>3</v>
      </c>
      <c r="E678" s="61">
        <v>16.100000000000001</v>
      </c>
      <c r="F678" s="61">
        <v>2.9</v>
      </c>
      <c r="G678" s="17">
        <f t="shared" si="71"/>
        <v>38</v>
      </c>
      <c r="H678" s="12"/>
    </row>
    <row r="679" spans="1:17">
      <c r="A679" s="19"/>
      <c r="B679" s="56" t="s">
        <v>1044</v>
      </c>
      <c r="C679" s="62">
        <v>2</v>
      </c>
      <c r="D679" s="57" t="s">
        <v>3</v>
      </c>
      <c r="E679" s="61">
        <v>145.76</v>
      </c>
      <c r="F679" s="61">
        <v>26.24</v>
      </c>
      <c r="G679" s="17">
        <f t="shared" si="71"/>
        <v>344</v>
      </c>
      <c r="H679" s="12"/>
    </row>
    <row r="680" spans="1:17">
      <c r="A680" s="19"/>
      <c r="B680" s="56" t="s">
        <v>1578</v>
      </c>
      <c r="C680" s="62">
        <v>2</v>
      </c>
      <c r="D680" s="57" t="s">
        <v>3</v>
      </c>
      <c r="E680" s="61">
        <v>216.1</v>
      </c>
      <c r="F680" s="61">
        <v>38.9</v>
      </c>
      <c r="G680" s="17">
        <f t="shared" si="71"/>
        <v>510</v>
      </c>
      <c r="H680" s="12"/>
    </row>
    <row r="681" spans="1:17">
      <c r="A681" s="19"/>
      <c r="B681" s="56" t="s">
        <v>1655</v>
      </c>
      <c r="C681" s="62">
        <v>1</v>
      </c>
      <c r="D681" s="57" t="s">
        <v>3</v>
      </c>
      <c r="E681" s="61">
        <f>2500/1.3</f>
        <v>1923.0769230769231</v>
      </c>
      <c r="F681" s="61">
        <f>+E681*0.18</f>
        <v>346.15384615384613</v>
      </c>
      <c r="G681" s="17">
        <f t="shared" si="71"/>
        <v>2269.2307692307691</v>
      </c>
      <c r="H681" s="12"/>
    </row>
    <row r="682" spans="1:17">
      <c r="A682" s="19"/>
      <c r="B682" s="56" t="s">
        <v>1579</v>
      </c>
      <c r="C682" s="62">
        <v>1</v>
      </c>
      <c r="D682" s="57" t="s">
        <v>3</v>
      </c>
      <c r="E682" s="61">
        <f>1250/1.18</f>
        <v>1059.3220338983051</v>
      </c>
      <c r="F682" s="61">
        <f>+E682*0.18</f>
        <v>190.67796610169492</v>
      </c>
      <c r="G682" s="17">
        <f t="shared" si="71"/>
        <v>1250</v>
      </c>
      <c r="H682" s="12"/>
    </row>
    <row r="683" spans="1:17">
      <c r="A683" s="19"/>
      <c r="B683" s="56" t="s">
        <v>1580</v>
      </c>
      <c r="C683" s="62">
        <v>0</v>
      </c>
      <c r="D683" s="57" t="s">
        <v>3</v>
      </c>
      <c r="E683" s="61">
        <v>592.37</v>
      </c>
      <c r="F683" s="61">
        <v>106.63</v>
      </c>
      <c r="G683" s="17">
        <f t="shared" si="71"/>
        <v>0</v>
      </c>
      <c r="H683" s="12"/>
    </row>
    <row r="684" spans="1:17">
      <c r="A684" s="19"/>
      <c r="B684" s="56" t="s">
        <v>1581</v>
      </c>
      <c r="C684" s="62">
        <v>1</v>
      </c>
      <c r="D684" s="57" t="s">
        <v>3</v>
      </c>
      <c r="E684" s="61">
        <v>20.25</v>
      </c>
      <c r="F684" s="61">
        <v>3.65</v>
      </c>
      <c r="G684" s="17">
        <f t="shared" si="71"/>
        <v>23.9</v>
      </c>
      <c r="H684" s="12"/>
    </row>
    <row r="685" spans="1:17">
      <c r="A685" s="19"/>
      <c r="B685" s="56" t="s">
        <v>1582</v>
      </c>
      <c r="C685" s="62">
        <v>1</v>
      </c>
      <c r="D685" s="57" t="s">
        <v>3</v>
      </c>
      <c r="E685" s="61">
        <v>101.25</v>
      </c>
      <c r="F685" s="61">
        <v>18.23</v>
      </c>
      <c r="G685" s="17">
        <f t="shared" si="71"/>
        <v>119.48</v>
      </c>
      <c r="H685" s="12"/>
    </row>
    <row r="686" spans="1:17">
      <c r="A686" s="19"/>
      <c r="B686" s="56" t="s">
        <v>1583</v>
      </c>
      <c r="C686" s="62">
        <v>1</v>
      </c>
      <c r="D686" s="57" t="s">
        <v>3</v>
      </c>
      <c r="E686" s="61">
        <v>25</v>
      </c>
      <c r="F686" s="61">
        <v>4.5</v>
      </c>
      <c r="G686" s="17">
        <f t="shared" si="71"/>
        <v>29.5</v>
      </c>
      <c r="H686" s="12"/>
    </row>
    <row r="687" spans="1:17">
      <c r="A687" s="19"/>
      <c r="B687" s="56" t="s">
        <v>1572</v>
      </c>
      <c r="C687" s="62">
        <v>0.05</v>
      </c>
      <c r="D687" s="57" t="s">
        <v>129</v>
      </c>
      <c r="E687" s="61">
        <v>788.98</v>
      </c>
      <c r="F687" s="61">
        <v>142.02000000000001</v>
      </c>
      <c r="G687" s="17">
        <f t="shared" si="71"/>
        <v>46.550000000000004</v>
      </c>
      <c r="H687" s="12"/>
    </row>
    <row r="688" spans="1:17">
      <c r="A688" s="19"/>
      <c r="B688" s="56" t="s">
        <v>1573</v>
      </c>
      <c r="C688" s="62">
        <v>0.25</v>
      </c>
      <c r="D688" s="57" t="s">
        <v>3</v>
      </c>
      <c r="E688" s="61">
        <v>18.64</v>
      </c>
      <c r="F688" s="61">
        <v>3.36</v>
      </c>
      <c r="G688" s="17">
        <f t="shared" si="71"/>
        <v>5.5</v>
      </c>
      <c r="H688" s="12"/>
    </row>
    <row r="689" spans="1:17">
      <c r="A689" s="19"/>
      <c r="B689" s="56" t="s">
        <v>1574</v>
      </c>
      <c r="C689" s="62">
        <v>1</v>
      </c>
      <c r="D689" s="57" t="s">
        <v>3</v>
      </c>
      <c r="E689" s="61">
        <v>1716.7600000000002</v>
      </c>
      <c r="F689" s="61"/>
      <c r="G689" s="17">
        <f t="shared" si="71"/>
        <v>1716.7600000000002</v>
      </c>
      <c r="H689" s="12"/>
    </row>
    <row r="690" spans="1:17">
      <c r="A690" s="19"/>
      <c r="B690" s="56" t="s">
        <v>1584</v>
      </c>
      <c r="C690" s="62">
        <v>1</v>
      </c>
      <c r="D690" s="57" t="s">
        <v>3</v>
      </c>
      <c r="E690" s="61">
        <v>1607.76</v>
      </c>
      <c r="F690" s="61"/>
      <c r="G690" s="17">
        <f t="shared" si="71"/>
        <v>1607.76</v>
      </c>
      <c r="H690" s="12"/>
    </row>
    <row r="691" spans="1:17">
      <c r="A691" s="19"/>
      <c r="B691" s="56" t="s">
        <v>1585</v>
      </c>
      <c r="C691" s="62">
        <v>1</v>
      </c>
      <c r="D691" s="57" t="s">
        <v>3</v>
      </c>
      <c r="E691" s="61">
        <v>1857.2</v>
      </c>
      <c r="F691" s="61"/>
      <c r="G691" s="17">
        <f t="shared" si="71"/>
        <v>1857.2</v>
      </c>
      <c r="H691" s="12"/>
    </row>
    <row r="692" spans="1:17">
      <c r="A692" s="19"/>
      <c r="B692" s="56"/>
      <c r="C692" s="62"/>
      <c r="D692" s="57"/>
      <c r="E692" s="61"/>
      <c r="F692" s="61"/>
      <c r="G692" s="17"/>
      <c r="H692" s="12"/>
    </row>
    <row r="693" spans="1:17" ht="15.75" thickBot="1">
      <c r="A693" s="21"/>
      <c r="B693" s="22"/>
      <c r="C693" s="23"/>
      <c r="D693" s="24" t="s">
        <v>111</v>
      </c>
      <c r="E693" s="78"/>
      <c r="F693" s="79"/>
      <c r="G693" s="26">
        <f>SUM(G677:G692)</f>
        <v>9915.9007692307696</v>
      </c>
      <c r="H693" s="27" t="s">
        <v>1492</v>
      </c>
    </row>
    <row r="694" spans="1:17" ht="15.75" thickTop="1">
      <c r="B694" s="55"/>
    </row>
    <row r="695" spans="1:17">
      <c r="A695" s="64"/>
      <c r="B695" s="370" t="e">
        <f>#REF!</f>
        <v>#REF!</v>
      </c>
      <c r="C695" s="370"/>
      <c r="D695" s="370"/>
      <c r="E695" s="370"/>
      <c r="F695" s="370"/>
      <c r="G695" s="370"/>
      <c r="H695" s="370"/>
    </row>
    <row r="696" spans="1:17">
      <c r="A696" s="6"/>
      <c r="B696" s="7"/>
      <c r="C696" s="8" t="s">
        <v>98</v>
      </c>
      <c r="D696" s="9" t="s">
        <v>39</v>
      </c>
      <c r="E696" s="74" t="s">
        <v>99</v>
      </c>
      <c r="F696" s="75" t="s">
        <v>100</v>
      </c>
      <c r="G696" s="11" t="s">
        <v>101</v>
      </c>
      <c r="H696" s="12"/>
      <c r="L696">
        <v>1.4</v>
      </c>
      <c r="M696">
        <v>3.2810000000000001</v>
      </c>
      <c r="N696">
        <v>0.66700000000000004</v>
      </c>
      <c r="O696">
        <f>+K696*L696*M696*N696/100</f>
        <v>0</v>
      </c>
    </row>
    <row r="697" spans="1:17">
      <c r="A697" s="19"/>
      <c r="B697" s="56" t="s">
        <v>1041</v>
      </c>
      <c r="C697" s="62">
        <v>2</v>
      </c>
      <c r="D697" s="57" t="s">
        <v>3</v>
      </c>
      <c r="E697" s="61">
        <v>41.53</v>
      </c>
      <c r="F697" s="61">
        <v>7.48</v>
      </c>
      <c r="G697" s="17">
        <f t="shared" ref="G697:G713" si="72">+C697*E697+C697*F697</f>
        <v>98.02000000000001</v>
      </c>
      <c r="H697" s="12"/>
      <c r="O697">
        <f>SUM(O696:O696)</f>
        <v>0</v>
      </c>
      <c r="P697">
        <f>+O697*1.05</f>
        <v>0</v>
      </c>
      <c r="Q697" t="e">
        <f>+P697/J695</f>
        <v>#DIV/0!</v>
      </c>
    </row>
    <row r="698" spans="1:17">
      <c r="A698" s="19"/>
      <c r="B698" s="56" t="s">
        <v>1042</v>
      </c>
      <c r="C698" s="62">
        <v>2</v>
      </c>
      <c r="D698" s="57" t="s">
        <v>3</v>
      </c>
      <c r="E698" s="61">
        <v>16.100000000000001</v>
      </c>
      <c r="F698" s="61">
        <v>2.9</v>
      </c>
      <c r="G698" s="17">
        <f t="shared" si="72"/>
        <v>38</v>
      </c>
      <c r="H698" s="12"/>
    </row>
    <row r="699" spans="1:17">
      <c r="A699" s="19"/>
      <c r="B699" s="56" t="s">
        <v>1044</v>
      </c>
      <c r="C699" s="62">
        <v>2</v>
      </c>
      <c r="D699" s="57" t="s">
        <v>3</v>
      </c>
      <c r="E699" s="61">
        <v>145.76</v>
      </c>
      <c r="F699" s="61">
        <v>26.24</v>
      </c>
      <c r="G699" s="17">
        <f t="shared" si="72"/>
        <v>344</v>
      </c>
      <c r="H699" s="12"/>
    </row>
    <row r="700" spans="1:17">
      <c r="A700" s="19"/>
      <c r="B700" s="56" t="s">
        <v>1586</v>
      </c>
      <c r="C700" s="62">
        <v>2</v>
      </c>
      <c r="D700" s="57" t="s">
        <v>3</v>
      </c>
      <c r="E700" s="61">
        <v>216.1</v>
      </c>
      <c r="F700" s="61">
        <v>38.9</v>
      </c>
      <c r="G700" s="17">
        <f t="shared" si="72"/>
        <v>510</v>
      </c>
      <c r="H700" s="12"/>
    </row>
    <row r="701" spans="1:17">
      <c r="A701" s="19"/>
      <c r="B701" s="56" t="s">
        <v>1674</v>
      </c>
      <c r="C701" s="62">
        <v>1</v>
      </c>
      <c r="D701" s="57" t="s">
        <v>3</v>
      </c>
      <c r="E701" s="61">
        <f>Materiales!$D$923</f>
        <v>1097.457627118644</v>
      </c>
      <c r="F701" s="61">
        <v>456.87</v>
      </c>
      <c r="G701" s="17">
        <f t="shared" si="72"/>
        <v>1554.3276271186442</v>
      </c>
      <c r="H701" s="12"/>
    </row>
    <row r="702" spans="1:17">
      <c r="A702" s="19"/>
      <c r="B702" s="56" t="s">
        <v>1675</v>
      </c>
      <c r="C702" s="62">
        <v>1</v>
      </c>
      <c r="D702" s="57" t="s">
        <v>3</v>
      </c>
      <c r="E702" s="61">
        <f>3905/1.18</f>
        <v>3309.3220338983051</v>
      </c>
      <c r="F702" s="61">
        <v>1122.0999999999999</v>
      </c>
      <c r="G702" s="17">
        <f t="shared" si="72"/>
        <v>4431.422033898305</v>
      </c>
      <c r="H702" s="12"/>
    </row>
    <row r="703" spans="1:17">
      <c r="A703" s="19"/>
      <c r="B703" s="56" t="s">
        <v>1587</v>
      </c>
      <c r="C703" s="62">
        <v>2</v>
      </c>
      <c r="D703" s="57" t="s">
        <v>3</v>
      </c>
      <c r="E703" s="61">
        <v>202.54</v>
      </c>
      <c r="F703" s="61">
        <v>36.46</v>
      </c>
      <c r="G703" s="17">
        <f t="shared" si="72"/>
        <v>478</v>
      </c>
      <c r="H703" s="12"/>
    </row>
    <row r="704" spans="1:17">
      <c r="A704" s="19"/>
      <c r="B704" s="56" t="s">
        <v>1581</v>
      </c>
      <c r="C704" s="62">
        <v>2</v>
      </c>
      <c r="D704" s="57" t="s">
        <v>3</v>
      </c>
      <c r="E704" s="61">
        <v>20.25</v>
      </c>
      <c r="F704" s="61">
        <v>3.65</v>
      </c>
      <c r="G704" s="17">
        <f t="shared" si="72"/>
        <v>47.8</v>
      </c>
      <c r="H704" s="12"/>
    </row>
    <row r="705" spans="1:17">
      <c r="A705" s="19"/>
      <c r="B705" s="56" t="s">
        <v>1582</v>
      </c>
      <c r="C705" s="62">
        <v>1</v>
      </c>
      <c r="D705" s="57" t="s">
        <v>3</v>
      </c>
      <c r="E705" s="61">
        <v>101.25</v>
      </c>
      <c r="F705" s="61">
        <v>18.23</v>
      </c>
      <c r="G705" s="17">
        <f t="shared" si="72"/>
        <v>119.48</v>
      </c>
      <c r="H705" s="12"/>
    </row>
    <row r="706" spans="1:17">
      <c r="A706" s="19"/>
      <c r="B706" s="56" t="s">
        <v>1588</v>
      </c>
      <c r="C706" s="62">
        <v>1</v>
      </c>
      <c r="D706" s="57" t="s">
        <v>3</v>
      </c>
      <c r="E706" s="61">
        <v>154.24</v>
      </c>
      <c r="F706" s="61">
        <v>27.76</v>
      </c>
      <c r="G706" s="17">
        <f t="shared" si="72"/>
        <v>182</v>
      </c>
      <c r="H706" s="12"/>
    </row>
    <row r="707" spans="1:17">
      <c r="A707" s="19"/>
      <c r="B707" s="56" t="s">
        <v>1583</v>
      </c>
      <c r="C707" s="62">
        <v>1</v>
      </c>
      <c r="D707" s="57" t="s">
        <v>3</v>
      </c>
      <c r="E707" s="61">
        <v>25</v>
      </c>
      <c r="F707" s="61">
        <v>4.5</v>
      </c>
      <c r="G707" s="17">
        <f t="shared" si="72"/>
        <v>29.5</v>
      </c>
      <c r="H707" s="12"/>
    </row>
    <row r="708" spans="1:17">
      <c r="A708" s="19"/>
      <c r="B708" s="56" t="s">
        <v>1572</v>
      </c>
      <c r="C708" s="62">
        <v>0.05</v>
      </c>
      <c r="D708" s="57" t="s">
        <v>129</v>
      </c>
      <c r="E708" s="61">
        <v>788.98</v>
      </c>
      <c r="F708" s="61">
        <v>142.02000000000001</v>
      </c>
      <c r="G708" s="17">
        <f t="shared" si="72"/>
        <v>46.550000000000004</v>
      </c>
      <c r="H708" s="12"/>
    </row>
    <row r="709" spans="1:17">
      <c r="A709" s="19"/>
      <c r="B709" s="56" t="s">
        <v>1573</v>
      </c>
      <c r="C709" s="62">
        <v>0.25</v>
      </c>
      <c r="D709" s="57" t="s">
        <v>3</v>
      </c>
      <c r="E709" s="61">
        <v>18.64</v>
      </c>
      <c r="F709" s="61">
        <v>3.36</v>
      </c>
      <c r="G709" s="17">
        <f t="shared" si="72"/>
        <v>5.5</v>
      </c>
      <c r="H709" s="12"/>
    </row>
    <row r="710" spans="1:17">
      <c r="A710" s="19"/>
      <c r="B710" s="56" t="s">
        <v>1589</v>
      </c>
      <c r="C710" s="62">
        <v>1</v>
      </c>
      <c r="D710" s="57" t="s">
        <v>3</v>
      </c>
      <c r="E710" s="61">
        <v>239.4</v>
      </c>
      <c r="F710" s="61">
        <v>43.09</v>
      </c>
      <c r="G710" s="17">
        <f t="shared" si="72"/>
        <v>282.49</v>
      </c>
      <c r="H710" s="12"/>
    </row>
    <row r="711" spans="1:17">
      <c r="A711" s="19"/>
      <c r="B711" s="56" t="s">
        <v>1574</v>
      </c>
      <c r="C711" s="62">
        <v>1</v>
      </c>
      <c r="D711" s="57" t="s">
        <v>3</v>
      </c>
      <c r="E711" s="61">
        <v>1631.3700000000001</v>
      </c>
      <c r="F711" s="61">
        <v>85.39</v>
      </c>
      <c r="G711" s="17">
        <f t="shared" si="72"/>
        <v>1716.7600000000002</v>
      </c>
      <c r="H711" s="12"/>
    </row>
    <row r="712" spans="1:17">
      <c r="A712" s="19"/>
      <c r="B712" s="56" t="s">
        <v>1584</v>
      </c>
      <c r="C712" s="62">
        <v>1</v>
      </c>
      <c r="D712" s="57" t="s">
        <v>3</v>
      </c>
      <c r="E712" s="61">
        <v>1523.8</v>
      </c>
      <c r="F712" s="61">
        <v>83.960000000000008</v>
      </c>
      <c r="G712" s="17">
        <f t="shared" si="72"/>
        <v>1607.76</v>
      </c>
      <c r="H712" s="12"/>
    </row>
    <row r="713" spans="1:17">
      <c r="A713" s="19"/>
      <c r="B713" s="56" t="s">
        <v>1590</v>
      </c>
      <c r="C713" s="62">
        <v>1</v>
      </c>
      <c r="D713" s="57" t="s">
        <v>3</v>
      </c>
      <c r="E713" s="61">
        <v>1857.2</v>
      </c>
      <c r="F713" s="61"/>
      <c r="G713" s="17">
        <f t="shared" si="72"/>
        <v>1857.2</v>
      </c>
      <c r="H713" s="12"/>
    </row>
    <row r="714" spans="1:17">
      <c r="A714" s="19"/>
      <c r="B714" s="56"/>
      <c r="C714" s="62"/>
      <c r="D714" s="57"/>
      <c r="E714" s="61"/>
      <c r="F714" s="61"/>
      <c r="G714" s="17"/>
      <c r="H714" s="12"/>
    </row>
    <row r="715" spans="1:17" ht="15.75" thickBot="1">
      <c r="A715" s="21"/>
      <c r="B715" s="22"/>
      <c r="C715" s="23"/>
      <c r="D715" s="24" t="s">
        <v>111</v>
      </c>
      <c r="E715" s="78"/>
      <c r="F715" s="79"/>
      <c r="G715" s="26">
        <f>SUM(G697:G714)</f>
        <v>13348.80966101695</v>
      </c>
      <c r="H715" s="27" t="s">
        <v>1492</v>
      </c>
    </row>
    <row r="716" spans="1:17" ht="15.75" thickTop="1"/>
    <row r="717" spans="1:17">
      <c r="A717" s="64"/>
      <c r="B717" s="370" t="e">
        <f>#REF!</f>
        <v>#REF!</v>
      </c>
      <c r="C717" s="370"/>
      <c r="D717" s="370"/>
      <c r="E717" s="370"/>
      <c r="F717" s="370"/>
      <c r="G717" s="370"/>
      <c r="H717" s="370"/>
    </row>
    <row r="718" spans="1:17">
      <c r="A718" s="6"/>
      <c r="B718" s="7"/>
      <c r="C718" s="8" t="s">
        <v>98</v>
      </c>
      <c r="D718" s="9" t="s">
        <v>39</v>
      </c>
      <c r="E718" s="74" t="s">
        <v>99</v>
      </c>
      <c r="F718" s="75" t="s">
        <v>100</v>
      </c>
      <c r="G718" s="11" t="s">
        <v>101</v>
      </c>
      <c r="H718" s="12"/>
      <c r="L718">
        <v>1.4</v>
      </c>
      <c r="M718">
        <v>3.2810000000000001</v>
      </c>
      <c r="N718">
        <v>0.66700000000000004</v>
      </c>
      <c r="O718">
        <f>+K718*L718*M718*N718/100</f>
        <v>0</v>
      </c>
    </row>
    <row r="719" spans="1:17">
      <c r="A719" s="19"/>
      <c r="B719" s="56" t="s">
        <v>1657</v>
      </c>
      <c r="C719" s="62">
        <v>1</v>
      </c>
      <c r="D719" s="57" t="s">
        <v>3</v>
      </c>
      <c r="E719" s="61">
        <f>2300/1.18</f>
        <v>1949.1525423728815</v>
      </c>
      <c r="F719" s="61">
        <f t="shared" ref="F719:F722" si="73">+E719*0.18</f>
        <v>350.84745762711867</v>
      </c>
      <c r="G719" s="17">
        <f t="shared" ref="G719:G723" si="74">+C719*E719+C719*F719</f>
        <v>2300</v>
      </c>
      <c r="H719" s="12"/>
      <c r="O719">
        <f>SUM(O718:O718)</f>
        <v>0</v>
      </c>
      <c r="P719">
        <f>+O719*1.05</f>
        <v>0</v>
      </c>
      <c r="Q719" t="e">
        <f>+P719/J717</f>
        <v>#DIV/0!</v>
      </c>
    </row>
    <row r="720" spans="1:17">
      <c r="A720" s="19"/>
      <c r="B720" s="56" t="s">
        <v>1658</v>
      </c>
      <c r="C720" s="62">
        <v>1</v>
      </c>
      <c r="D720" s="57" t="s">
        <v>3</v>
      </c>
      <c r="E720" s="61">
        <f>1300/1.18</f>
        <v>1101.6949152542375</v>
      </c>
      <c r="F720" s="61">
        <f t="shared" si="73"/>
        <v>198.30508474576274</v>
      </c>
      <c r="G720" s="17">
        <f t="shared" si="74"/>
        <v>1300.0000000000002</v>
      </c>
      <c r="H720" s="12"/>
    </row>
    <row r="721" spans="1:17">
      <c r="A721" s="19"/>
      <c r="B721" s="56" t="s">
        <v>1659</v>
      </c>
      <c r="C721" s="62">
        <v>1</v>
      </c>
      <c r="D721" s="57" t="s">
        <v>3</v>
      </c>
      <c r="E721" s="61">
        <f>6000/1.18</f>
        <v>5084.7457627118647</v>
      </c>
      <c r="F721" s="61">
        <f t="shared" si="73"/>
        <v>915.25423728813564</v>
      </c>
      <c r="G721" s="17">
        <f t="shared" si="74"/>
        <v>6000</v>
      </c>
      <c r="H721" s="12"/>
    </row>
    <row r="722" spans="1:17">
      <c r="A722" s="19"/>
      <c r="B722" s="56" t="s">
        <v>1660</v>
      </c>
      <c r="C722" s="62">
        <v>1</v>
      </c>
      <c r="D722" s="57" t="s">
        <v>3</v>
      </c>
      <c r="E722" s="61">
        <f>1850/1.18</f>
        <v>1567.7966101694917</v>
      </c>
      <c r="F722" s="61">
        <f t="shared" si="73"/>
        <v>282.20338983050851</v>
      </c>
      <c r="G722" s="17">
        <f t="shared" si="74"/>
        <v>1850.0000000000002</v>
      </c>
      <c r="H722" s="12"/>
    </row>
    <row r="723" spans="1:17">
      <c r="A723" s="19"/>
      <c r="B723" s="56" t="s">
        <v>1661</v>
      </c>
      <c r="C723" s="62">
        <v>1</v>
      </c>
      <c r="D723" s="57" t="s">
        <v>74</v>
      </c>
      <c r="E723" s="61">
        <v>1000</v>
      </c>
      <c r="F723" s="61"/>
      <c r="G723" s="17">
        <f t="shared" si="74"/>
        <v>1000</v>
      </c>
      <c r="H723" s="12"/>
    </row>
    <row r="724" spans="1:17">
      <c r="A724" s="19"/>
      <c r="B724" s="56"/>
      <c r="C724" s="62"/>
      <c r="D724" s="57"/>
      <c r="E724" s="61"/>
      <c r="F724" s="61"/>
      <c r="G724" s="17"/>
      <c r="H724" s="12"/>
    </row>
    <row r="725" spans="1:17" ht="15.75" thickBot="1">
      <c r="A725" s="21"/>
      <c r="B725" s="22"/>
      <c r="C725" s="23"/>
      <c r="D725" s="24" t="s">
        <v>111</v>
      </c>
      <c r="E725" s="78"/>
      <c r="F725" s="79"/>
      <c r="G725" s="26">
        <f>SUM(G719:G724)</f>
        <v>12450</v>
      </c>
      <c r="H725" s="27" t="s">
        <v>1492</v>
      </c>
    </row>
    <row r="726" spans="1:17" ht="15.75" thickTop="1"/>
    <row r="727" spans="1:17">
      <c r="A727" s="64"/>
      <c r="B727" s="370" t="e">
        <f>#REF!</f>
        <v>#REF!</v>
      </c>
      <c r="C727" s="370"/>
      <c r="D727" s="370"/>
      <c r="E727" s="370"/>
      <c r="F727" s="370"/>
      <c r="G727" s="370"/>
      <c r="H727" s="370"/>
    </row>
    <row r="728" spans="1:17">
      <c r="A728" s="6"/>
      <c r="B728" s="7"/>
      <c r="C728" s="8" t="s">
        <v>98</v>
      </c>
      <c r="D728" s="9" t="s">
        <v>39</v>
      </c>
      <c r="E728" s="74" t="s">
        <v>99</v>
      </c>
      <c r="F728" s="75" t="s">
        <v>100</v>
      </c>
      <c r="G728" s="11" t="s">
        <v>101</v>
      </c>
      <c r="H728" s="12"/>
      <c r="L728">
        <v>1.4</v>
      </c>
      <c r="M728">
        <v>3.2810000000000001</v>
      </c>
      <c r="N728">
        <v>0.66700000000000004</v>
      </c>
      <c r="O728">
        <f>+K728*L728*M728*N728/100</f>
        <v>0</v>
      </c>
    </row>
    <row r="729" spans="1:17">
      <c r="A729" s="19"/>
      <c r="B729" s="56" t="s">
        <v>1592</v>
      </c>
      <c r="C729" s="62">
        <v>1</v>
      </c>
      <c r="D729" s="57" t="s">
        <v>31</v>
      </c>
      <c r="E729" s="61">
        <f>Materiales!$D$723</f>
        <v>652.54237288135596</v>
      </c>
      <c r="F729" s="61">
        <f t="shared" ref="F729:F732" si="75">+E729*0.18</f>
        <v>117.45762711864407</v>
      </c>
      <c r="G729" s="17">
        <f t="shared" ref="G729:G732" si="76">+C729*E729+C729*F729</f>
        <v>770</v>
      </c>
      <c r="H729" s="12"/>
      <c r="O729">
        <f>SUM(O728:O728)</f>
        <v>0</v>
      </c>
      <c r="P729">
        <f>+O729*1.05</f>
        <v>0</v>
      </c>
      <c r="Q729" t="e">
        <f>+P729/J727</f>
        <v>#DIV/0!</v>
      </c>
    </row>
    <row r="730" spans="1:17">
      <c r="A730" s="19"/>
      <c r="B730" s="56" t="s">
        <v>1593</v>
      </c>
      <c r="C730" s="62">
        <v>1</v>
      </c>
      <c r="D730" s="57" t="s">
        <v>31</v>
      </c>
      <c r="E730" s="61">
        <f>Materiales!$D$735</f>
        <v>70.33898305084746</v>
      </c>
      <c r="F730" s="61">
        <f t="shared" si="75"/>
        <v>12.661016949152541</v>
      </c>
      <c r="G730" s="17">
        <f t="shared" si="76"/>
        <v>83</v>
      </c>
      <c r="H730" s="12"/>
    </row>
    <row r="731" spans="1:17">
      <c r="A731" s="19"/>
      <c r="B731" s="56" t="s">
        <v>1594</v>
      </c>
      <c r="C731" s="65">
        <v>3.6000000000000003E-3</v>
      </c>
      <c r="D731" s="57" t="s">
        <v>1595</v>
      </c>
      <c r="E731" s="61">
        <f>Materiales!$D$708</f>
        <v>628.81355932203394</v>
      </c>
      <c r="F731" s="61">
        <f t="shared" si="75"/>
        <v>113.1864406779661</v>
      </c>
      <c r="G731" s="17">
        <f t="shared" si="76"/>
        <v>2.6712000000000007</v>
      </c>
      <c r="H731" s="12"/>
    </row>
    <row r="732" spans="1:17">
      <c r="A732" s="19"/>
      <c r="B732" s="56" t="s">
        <v>1848</v>
      </c>
      <c r="C732" s="62">
        <v>1</v>
      </c>
      <c r="D732" s="57" t="s">
        <v>39</v>
      </c>
      <c r="E732" s="61">
        <f>+E750</f>
        <v>1327.8</v>
      </c>
      <c r="F732" s="61">
        <f t="shared" si="75"/>
        <v>239.00399999999999</v>
      </c>
      <c r="G732" s="17">
        <f t="shared" si="76"/>
        <v>1566.8039999999999</v>
      </c>
      <c r="H732" s="12"/>
    </row>
    <row r="733" spans="1:17" ht="15.75" thickBot="1">
      <c r="A733" s="21"/>
      <c r="B733" s="22"/>
      <c r="C733" s="23"/>
      <c r="D733" s="24" t="s">
        <v>111</v>
      </c>
      <c r="E733" s="78"/>
      <c r="F733" s="79"/>
      <c r="G733" s="26">
        <f>SUM(G729:G732)</f>
        <v>2422.4751999999999</v>
      </c>
      <c r="H733" s="27" t="s">
        <v>1492</v>
      </c>
    </row>
    <row r="734" spans="1:17" ht="15.75" thickTop="1"/>
    <row r="735" spans="1:17">
      <c r="A735" s="64"/>
      <c r="B735" s="370" t="e">
        <f>#REF!</f>
        <v>#REF!</v>
      </c>
      <c r="C735" s="370"/>
      <c r="D735" s="370"/>
      <c r="E735" s="370"/>
      <c r="F735" s="370"/>
      <c r="G735" s="370"/>
      <c r="H735" s="370"/>
    </row>
    <row r="736" spans="1:17">
      <c r="A736" s="6"/>
      <c r="B736" s="7"/>
      <c r="C736" s="8" t="s">
        <v>98</v>
      </c>
      <c r="D736" s="9" t="s">
        <v>39</v>
      </c>
      <c r="E736" s="74" t="s">
        <v>99</v>
      </c>
      <c r="F736" s="75" t="s">
        <v>100</v>
      </c>
      <c r="G736" s="11" t="s">
        <v>101</v>
      </c>
      <c r="H736" s="12"/>
      <c r="L736">
        <v>1.4</v>
      </c>
      <c r="M736">
        <v>3.2810000000000001</v>
      </c>
      <c r="N736">
        <v>0.66700000000000004</v>
      </c>
      <c r="O736">
        <f>+K736*L736*M736*N736/100</f>
        <v>0</v>
      </c>
    </row>
    <row r="737" spans="1:17">
      <c r="A737" s="19"/>
      <c r="B737" s="56" t="s">
        <v>1592</v>
      </c>
      <c r="C737" s="62">
        <v>1</v>
      </c>
      <c r="D737" s="57" t="s">
        <v>31</v>
      </c>
      <c r="E737" s="61">
        <f>Materiales!$D$723</f>
        <v>652.54237288135596</v>
      </c>
      <c r="F737" s="61">
        <f t="shared" ref="F737:F739" si="77">+E737*0.18</f>
        <v>117.45762711864407</v>
      </c>
      <c r="G737" s="17">
        <f t="shared" ref="G737:G740" si="78">+C737*E737+C737*F737</f>
        <v>770</v>
      </c>
      <c r="H737" s="12"/>
      <c r="O737">
        <f>SUM(O736:O736)</f>
        <v>0</v>
      </c>
      <c r="P737">
        <f>+O737*1.05</f>
        <v>0</v>
      </c>
      <c r="Q737" t="e">
        <f>+P737/J735</f>
        <v>#DIV/0!</v>
      </c>
    </row>
    <row r="738" spans="1:17">
      <c r="A738" s="19"/>
      <c r="B738" s="56" t="s">
        <v>1593</v>
      </c>
      <c r="C738" s="62">
        <v>1</v>
      </c>
      <c r="D738" s="57" t="s">
        <v>31</v>
      </c>
      <c r="E738" s="61">
        <f>Materiales!$D$735</f>
        <v>70.33898305084746</v>
      </c>
      <c r="F738" s="61">
        <f t="shared" si="77"/>
        <v>12.661016949152541</v>
      </c>
      <c r="G738" s="17">
        <f t="shared" si="78"/>
        <v>83</v>
      </c>
      <c r="H738" s="12"/>
    </row>
    <row r="739" spans="1:17">
      <c r="A739" s="19"/>
      <c r="B739" s="56" t="s">
        <v>1594</v>
      </c>
      <c r="C739" s="65">
        <v>3.6000000000000003E-3</v>
      </c>
      <c r="D739" s="57" t="s">
        <v>1595</v>
      </c>
      <c r="E739" s="61">
        <f>Materiales!$D$708</f>
        <v>628.81355932203394</v>
      </c>
      <c r="F739" s="61">
        <f t="shared" si="77"/>
        <v>113.1864406779661</v>
      </c>
      <c r="G739" s="17">
        <f t="shared" si="78"/>
        <v>2.6712000000000007</v>
      </c>
      <c r="H739" s="12"/>
    </row>
    <row r="740" spans="1:17">
      <c r="A740" s="19"/>
      <c r="B740" s="56" t="s">
        <v>1596</v>
      </c>
      <c r="C740" s="62">
        <v>1</v>
      </c>
      <c r="D740" s="57" t="s">
        <v>39</v>
      </c>
      <c r="E740" s="61">
        <v>1327.8</v>
      </c>
      <c r="F740" s="61"/>
      <c r="G740" s="17">
        <f t="shared" si="78"/>
        <v>1327.8</v>
      </c>
      <c r="H740" s="12"/>
    </row>
    <row r="741" spans="1:17" ht="15.75" thickBot="1">
      <c r="A741" s="21"/>
      <c r="B741" s="22"/>
      <c r="C741" s="23"/>
      <c r="D741" s="24" t="s">
        <v>111</v>
      </c>
      <c r="E741" s="78"/>
      <c r="F741" s="79"/>
      <c r="G741" s="26">
        <f>SUM(G737:G740)</f>
        <v>2183.4712</v>
      </c>
      <c r="H741" s="27" t="s">
        <v>1492</v>
      </c>
    </row>
    <row r="742" spans="1:17" ht="15.75" thickTop="1"/>
    <row r="743" spans="1:17">
      <c r="A743" s="64"/>
      <c r="B743" s="370" t="s">
        <v>41</v>
      </c>
      <c r="C743" s="370"/>
      <c r="D743" s="370"/>
      <c r="E743" s="370"/>
      <c r="F743" s="370"/>
      <c r="G743" s="370"/>
      <c r="H743" s="370"/>
    </row>
    <row r="744" spans="1:17">
      <c r="A744" s="6"/>
      <c r="B744" s="7"/>
      <c r="C744" s="8" t="s">
        <v>98</v>
      </c>
      <c r="D744" s="9" t="s">
        <v>39</v>
      </c>
      <c r="E744" s="74" t="s">
        <v>99</v>
      </c>
      <c r="F744" s="75" t="s">
        <v>100</v>
      </c>
      <c r="G744" s="11" t="s">
        <v>101</v>
      </c>
      <c r="H744" s="12"/>
      <c r="L744">
        <v>1.4</v>
      </c>
      <c r="M744">
        <v>3.2810000000000001</v>
      </c>
      <c r="N744">
        <v>0.66700000000000004</v>
      </c>
      <c r="O744">
        <f>+K744*L744*M744*N744/100</f>
        <v>0</v>
      </c>
    </row>
    <row r="745" spans="1:17">
      <c r="A745" s="19"/>
      <c r="B745" s="56" t="s">
        <v>1662</v>
      </c>
      <c r="C745" s="62">
        <v>1</v>
      </c>
      <c r="D745" s="57" t="s">
        <v>3</v>
      </c>
      <c r="E745" s="61">
        <v>44.92</v>
      </c>
      <c r="F745" s="61">
        <f t="shared" ref="F745:F748" si="79">+E745*0.18</f>
        <v>8.0855999999999995</v>
      </c>
      <c r="G745" s="17">
        <f t="shared" ref="G745:G750" si="80">+C745*E745+C745*F745</f>
        <v>53.005600000000001</v>
      </c>
      <c r="H745" s="12"/>
      <c r="O745">
        <f>SUM(O744:O744)</f>
        <v>0</v>
      </c>
      <c r="P745">
        <f>+O745*1.05</f>
        <v>0</v>
      </c>
      <c r="Q745" t="e">
        <f>+P745/J743</f>
        <v>#DIV/0!</v>
      </c>
    </row>
    <row r="746" spans="1:17">
      <c r="A746" s="19"/>
      <c r="B746" s="56" t="s">
        <v>847</v>
      </c>
      <c r="C746" s="62">
        <v>1</v>
      </c>
      <c r="D746" s="57" t="s">
        <v>3</v>
      </c>
      <c r="E746" s="61">
        <v>80.510000000000005</v>
      </c>
      <c r="F746" s="61">
        <f t="shared" si="79"/>
        <v>14.4918</v>
      </c>
      <c r="G746" s="17">
        <f t="shared" si="80"/>
        <v>95.001800000000003</v>
      </c>
      <c r="H746" s="12"/>
    </row>
    <row r="747" spans="1:17">
      <c r="A747" s="19"/>
      <c r="B747" s="56" t="s">
        <v>797</v>
      </c>
      <c r="C747" s="62">
        <v>0.08</v>
      </c>
      <c r="D747" s="57" t="s">
        <v>3</v>
      </c>
      <c r="E747" s="61">
        <v>628.80999999999995</v>
      </c>
      <c r="F747" s="61">
        <f t="shared" si="79"/>
        <v>113.18579999999999</v>
      </c>
      <c r="G747" s="17">
        <f t="shared" si="80"/>
        <v>59.359663999999995</v>
      </c>
      <c r="H747" s="12"/>
    </row>
    <row r="748" spans="1:17">
      <c r="A748" s="19"/>
      <c r="B748" s="56" t="s">
        <v>1572</v>
      </c>
      <c r="C748" s="62">
        <v>0.05</v>
      </c>
      <c r="D748" s="57" t="s">
        <v>129</v>
      </c>
      <c r="E748" s="61">
        <v>788.98</v>
      </c>
      <c r="F748" s="61">
        <f t="shared" si="79"/>
        <v>142.0164</v>
      </c>
      <c r="G748" s="17">
        <f t="shared" si="80"/>
        <v>46.549820000000004</v>
      </c>
      <c r="H748" s="12"/>
    </row>
    <row r="749" spans="1:17">
      <c r="A749" s="19"/>
      <c r="B749" s="56" t="s">
        <v>1584</v>
      </c>
      <c r="C749" s="62">
        <v>1</v>
      </c>
      <c r="D749" s="57" t="s">
        <v>3</v>
      </c>
      <c r="E749" s="61">
        <v>1607.76</v>
      </c>
      <c r="F749" s="61"/>
      <c r="G749" s="17">
        <f t="shared" si="80"/>
        <v>1607.76</v>
      </c>
      <c r="H749" s="12"/>
    </row>
    <row r="750" spans="1:17">
      <c r="A750" s="19"/>
      <c r="B750" s="56" t="s">
        <v>1591</v>
      </c>
      <c r="C750" s="62">
        <v>1</v>
      </c>
      <c r="D750" s="57" t="s">
        <v>3</v>
      </c>
      <c r="E750" s="61">
        <v>1327.8</v>
      </c>
      <c r="F750" s="61"/>
      <c r="G750" s="17">
        <f t="shared" si="80"/>
        <v>1327.8</v>
      </c>
      <c r="H750" s="12"/>
    </row>
    <row r="751" spans="1:17" ht="15.75" thickBot="1">
      <c r="A751" s="21"/>
      <c r="B751" s="22"/>
      <c r="C751" s="23"/>
      <c r="D751" s="24" t="s">
        <v>111</v>
      </c>
      <c r="E751" s="78"/>
      <c r="F751" s="79"/>
      <c r="G751" s="26">
        <f>SUM(G745:G750)</f>
        <v>3189.4768839999997</v>
      </c>
      <c r="H751" s="27" t="s">
        <v>1492</v>
      </c>
    </row>
    <row r="752" spans="1:17" ht="15.75" thickTop="1"/>
    <row r="753" spans="1:10" ht="27.75" customHeight="1">
      <c r="A753" s="64">
        <v>13.179999999999996</v>
      </c>
      <c r="B753" s="370" t="e">
        <f>#REF!</f>
        <v>#REF!</v>
      </c>
      <c r="C753" s="370"/>
      <c r="D753" s="370"/>
      <c r="E753" s="370"/>
      <c r="F753" s="370"/>
      <c r="G753" s="370"/>
      <c r="H753" s="370"/>
    </row>
    <row r="754" spans="1:10">
      <c r="A754" s="6"/>
      <c r="B754" s="7"/>
      <c r="C754" s="8" t="s">
        <v>98</v>
      </c>
      <c r="D754" s="9" t="s">
        <v>39</v>
      </c>
      <c r="E754" s="74" t="s">
        <v>99</v>
      </c>
      <c r="F754" s="75" t="s">
        <v>100</v>
      </c>
      <c r="G754" s="11" t="s">
        <v>101</v>
      </c>
      <c r="H754" s="12"/>
    </row>
    <row r="755" spans="1:10">
      <c r="A755" s="13"/>
      <c r="B755" s="60" t="s">
        <v>1597</v>
      </c>
      <c r="C755" s="57">
        <f>+C761*1.3</f>
        <v>2.0449000000000006</v>
      </c>
      <c r="D755" s="57" t="s">
        <v>19</v>
      </c>
      <c r="E755" s="76">
        <f>+G106</f>
        <v>419.9</v>
      </c>
      <c r="F755" s="76"/>
      <c r="G755" s="17">
        <f>+C755*E755+C755*F755</f>
        <v>858.65351000000021</v>
      </c>
      <c r="H755" s="18"/>
      <c r="J755">
        <f>1.1*0.9*1.1</f>
        <v>1.0890000000000002</v>
      </c>
    </row>
    <row r="756" spans="1:10">
      <c r="A756" s="13"/>
      <c r="B756" s="60" t="s">
        <v>1598</v>
      </c>
      <c r="C756" s="57">
        <f>0.8*0.8*0.1*1.1</f>
        <v>7.0400000000000018E-2</v>
      </c>
      <c r="D756" s="57" t="s">
        <v>20</v>
      </c>
      <c r="E756" s="76">
        <f>'Analisis Auxiliares'!$G$11</f>
        <v>5880</v>
      </c>
      <c r="F756" s="76"/>
      <c r="G756" s="17">
        <f t="shared" ref="G756:G762" si="81">+C756*E756+C756*F756</f>
        <v>413.95200000000011</v>
      </c>
      <c r="H756" s="18"/>
    </row>
    <row r="757" spans="1:10">
      <c r="A757" s="13"/>
      <c r="B757" s="60" t="s">
        <v>1599</v>
      </c>
      <c r="C757" s="57">
        <v>42</v>
      </c>
      <c r="D757" s="57" t="s">
        <v>3</v>
      </c>
      <c r="E757" s="76">
        <f>Materiales!$D$119</f>
        <v>32.20338983050847</v>
      </c>
      <c r="F757" s="76">
        <f>+E757*0.18</f>
        <v>5.7966101694915242</v>
      </c>
      <c r="G757" s="17">
        <f t="shared" si="81"/>
        <v>1595.9999999999998</v>
      </c>
      <c r="H757" s="18"/>
      <c r="J757">
        <f>1.4*1.4*0.9</f>
        <v>1.7639999999999998</v>
      </c>
    </row>
    <row r="758" spans="1:10">
      <c r="A758" s="13"/>
      <c r="B758" s="60" t="s">
        <v>1600</v>
      </c>
      <c r="C758" s="57">
        <v>0.24</v>
      </c>
      <c r="D758" s="57" t="s">
        <v>164</v>
      </c>
      <c r="E758" s="76">
        <f>Materiales!$D$38</f>
        <v>3305.0847457627119</v>
      </c>
      <c r="F758" s="76">
        <f>+E758*0.18</f>
        <v>594.91525423728808</v>
      </c>
      <c r="G758" s="17">
        <f t="shared" si="81"/>
        <v>936</v>
      </c>
      <c r="H758" s="18"/>
    </row>
    <row r="759" spans="1:10">
      <c r="A759" s="13"/>
      <c r="B759" s="60" t="s">
        <v>1663</v>
      </c>
      <c r="C759" s="57">
        <v>0.26</v>
      </c>
      <c r="D759" s="57" t="s">
        <v>20</v>
      </c>
      <c r="E759" s="76">
        <f>'Analisis Auxiliares'!$G$55</f>
        <v>8214.5499999999993</v>
      </c>
      <c r="F759" s="76"/>
      <c r="G759" s="17">
        <f t="shared" si="81"/>
        <v>2135.7829999999999</v>
      </c>
      <c r="H759" s="18"/>
    </row>
    <row r="760" spans="1:10">
      <c r="A760" s="13"/>
      <c r="B760" s="60" t="s">
        <v>1602</v>
      </c>
      <c r="C760" s="57">
        <v>1</v>
      </c>
      <c r="D760" s="57" t="s">
        <v>74</v>
      </c>
      <c r="E760" s="76">
        <v>1300</v>
      </c>
      <c r="F760" s="76">
        <f>+E760*0.18</f>
        <v>234</v>
      </c>
      <c r="G760" s="17">
        <f t="shared" si="81"/>
        <v>1534</v>
      </c>
      <c r="H760" s="18"/>
    </row>
    <row r="761" spans="1:10">
      <c r="A761" s="13"/>
      <c r="B761" s="60" t="s">
        <v>1603</v>
      </c>
      <c r="C761" s="57">
        <f>1.1*1.1*1.3</f>
        <v>1.5730000000000004</v>
      </c>
      <c r="D761" s="57" t="s">
        <v>15</v>
      </c>
      <c r="E761" s="76">
        <f>+G75</f>
        <v>521.47907999999995</v>
      </c>
      <c r="F761" s="76"/>
      <c r="G761" s="17">
        <f t="shared" si="81"/>
        <v>820.28659284000014</v>
      </c>
      <c r="H761" s="18"/>
      <c r="J761">
        <f>1.4*1.2*1.3</f>
        <v>2.1840000000000002</v>
      </c>
    </row>
    <row r="762" spans="1:10">
      <c r="A762" s="13"/>
      <c r="B762" s="60" t="s">
        <v>1604</v>
      </c>
      <c r="C762" s="57">
        <v>1</v>
      </c>
      <c r="D762" s="57" t="s">
        <v>3</v>
      </c>
      <c r="E762" s="76">
        <v>2380.41</v>
      </c>
      <c r="F762" s="76"/>
      <c r="G762" s="17">
        <f t="shared" si="81"/>
        <v>2380.41</v>
      </c>
      <c r="H762" s="18"/>
    </row>
    <row r="763" spans="1:10" ht="15.75" thickBot="1">
      <c r="A763" s="21"/>
      <c r="B763" s="22"/>
      <c r="C763" s="23"/>
      <c r="D763" s="24" t="s">
        <v>111</v>
      </c>
      <c r="E763" s="78"/>
      <c r="F763" s="79"/>
      <c r="G763" s="26">
        <f>SUM(G755:G762)</f>
        <v>10675.085102840001</v>
      </c>
      <c r="H763" s="27" t="s">
        <v>1492</v>
      </c>
    </row>
    <row r="764" spans="1:10" ht="15.75" thickTop="1"/>
    <row r="765" spans="1:10">
      <c r="A765" s="64"/>
      <c r="B765" s="370" t="e">
        <f>#REF!</f>
        <v>#REF!</v>
      </c>
      <c r="C765" s="370"/>
      <c r="D765" s="370"/>
      <c r="E765" s="370"/>
      <c r="F765" s="370"/>
      <c r="G765" s="370"/>
      <c r="H765" s="370"/>
    </row>
    <row r="766" spans="1:10">
      <c r="A766" s="6"/>
      <c r="B766" s="7"/>
      <c r="C766" s="8" t="s">
        <v>98</v>
      </c>
      <c r="D766" s="9" t="s">
        <v>39</v>
      </c>
      <c r="E766" s="74" t="s">
        <v>99</v>
      </c>
      <c r="F766" s="75" t="s">
        <v>100</v>
      </c>
      <c r="G766" s="11" t="s">
        <v>101</v>
      </c>
      <c r="H766" s="12"/>
    </row>
    <row r="767" spans="1:10">
      <c r="A767" s="13"/>
      <c r="B767" s="60" t="s">
        <v>1597</v>
      </c>
      <c r="C767" s="57">
        <v>1.22</v>
      </c>
      <c r="D767" s="57" t="s">
        <v>19</v>
      </c>
      <c r="E767" s="76">
        <f>$E$755</f>
        <v>419.9</v>
      </c>
      <c r="F767" s="76"/>
      <c r="G767" s="17">
        <f>+C767*E767+C767*F767</f>
        <v>512.27799999999991</v>
      </c>
      <c r="H767" s="18"/>
    </row>
    <row r="768" spans="1:10">
      <c r="A768" s="13"/>
      <c r="B768" s="60" t="s">
        <v>1598</v>
      </c>
      <c r="C768" s="57">
        <v>0.22</v>
      </c>
      <c r="D768" s="57" t="s">
        <v>20</v>
      </c>
      <c r="E768" s="76">
        <f>'Analisis Auxiliares'!$G$11</f>
        <v>5880</v>
      </c>
      <c r="F768" s="76"/>
      <c r="G768" s="17">
        <f t="shared" ref="G768:G773" si="82">+C768*E768+C768*F768</f>
        <v>1293.5999999999999</v>
      </c>
      <c r="H768" s="18"/>
    </row>
    <row r="769" spans="1:17">
      <c r="A769" s="13"/>
      <c r="B769" s="60" t="s">
        <v>1664</v>
      </c>
      <c r="C769" s="57">
        <v>8</v>
      </c>
      <c r="D769" s="57" t="s">
        <v>3</v>
      </c>
      <c r="E769" s="76">
        <f>Materiales!$D$117</f>
        <v>34.745762711864408</v>
      </c>
      <c r="F769" s="76">
        <f>+E769*0.18</f>
        <v>6.2542372881355934</v>
      </c>
      <c r="G769" s="17">
        <f t="shared" si="82"/>
        <v>328</v>
      </c>
      <c r="H769" s="18"/>
    </row>
    <row r="770" spans="1:17">
      <c r="A770" s="13"/>
      <c r="B770" s="60" t="s">
        <v>1600</v>
      </c>
      <c r="C770" s="57">
        <v>0.15</v>
      </c>
      <c r="D770" s="57" t="s">
        <v>164</v>
      </c>
      <c r="E770" s="76">
        <f>Materiales!$D$38</f>
        <v>3305.0847457627119</v>
      </c>
      <c r="F770" s="76">
        <f>+E770*0.18</f>
        <v>594.91525423728808</v>
      </c>
      <c r="G770" s="17">
        <f t="shared" si="82"/>
        <v>585</v>
      </c>
      <c r="H770" s="18"/>
    </row>
    <row r="771" spans="1:17">
      <c r="A771" s="13"/>
      <c r="B771" s="60" t="s">
        <v>1601</v>
      </c>
      <c r="C771" s="57">
        <v>0.13</v>
      </c>
      <c r="D771" s="57" t="s">
        <v>20</v>
      </c>
      <c r="E771" s="76">
        <f>'Analisis Auxiliares'!$G$55</f>
        <v>8214.5499999999993</v>
      </c>
      <c r="F771" s="76"/>
      <c r="G771" s="17">
        <f t="shared" si="82"/>
        <v>1067.8915</v>
      </c>
      <c r="H771" s="18"/>
    </row>
    <row r="772" spans="1:17">
      <c r="A772" s="13"/>
      <c r="B772" s="60" t="s">
        <v>1603</v>
      </c>
      <c r="C772" s="57">
        <v>0.9</v>
      </c>
      <c r="D772" s="57" t="s">
        <v>15</v>
      </c>
      <c r="E772" s="76">
        <f>$E$761</f>
        <v>521.47907999999995</v>
      </c>
      <c r="F772" s="76"/>
      <c r="G772" s="17">
        <f t="shared" si="82"/>
        <v>469.33117199999998</v>
      </c>
      <c r="H772" s="18"/>
    </row>
    <row r="773" spans="1:17">
      <c r="A773" s="13"/>
      <c r="B773" s="60" t="s">
        <v>1605</v>
      </c>
      <c r="C773" s="57">
        <v>1</v>
      </c>
      <c r="D773" s="57" t="s">
        <v>3</v>
      </c>
      <c r="E773" s="76">
        <v>1190.2</v>
      </c>
      <c r="F773" s="76"/>
      <c r="G773" s="17">
        <f t="shared" si="82"/>
        <v>1190.2</v>
      </c>
      <c r="H773" s="18"/>
    </row>
    <row r="774" spans="1:17" ht="15.75" thickBot="1">
      <c r="A774" s="21"/>
      <c r="B774" s="22"/>
      <c r="C774" s="23"/>
      <c r="D774" s="24" t="s">
        <v>111</v>
      </c>
      <c r="E774" s="78"/>
      <c r="F774" s="79"/>
      <c r="G774" s="26">
        <f>SUM(G767:G773)</f>
        <v>5446.3006719999994</v>
      </c>
      <c r="H774" s="27" t="s">
        <v>1492</v>
      </c>
    </row>
    <row r="775" spans="1:17" ht="15.75" thickTop="1"/>
    <row r="776" spans="1:17">
      <c r="A776" s="64"/>
      <c r="B776" s="370" t="e">
        <f>#REF!</f>
        <v>#REF!</v>
      </c>
      <c r="C776" s="370"/>
      <c r="D776" s="370"/>
      <c r="E776" s="370"/>
      <c r="F776" s="370"/>
      <c r="G776" s="370"/>
      <c r="H776" s="370"/>
    </row>
    <row r="777" spans="1:17">
      <c r="A777" s="6"/>
      <c r="B777" s="7"/>
      <c r="C777" s="8" t="s">
        <v>98</v>
      </c>
      <c r="D777" s="9" t="s">
        <v>39</v>
      </c>
      <c r="E777" s="74" t="s">
        <v>99</v>
      </c>
      <c r="F777" s="75" t="s">
        <v>100</v>
      </c>
      <c r="G777" s="11" t="s">
        <v>101</v>
      </c>
      <c r="H777" s="12"/>
      <c r="L777">
        <v>1.4</v>
      </c>
      <c r="M777">
        <v>3.2810000000000001</v>
      </c>
      <c r="N777">
        <v>0.66700000000000004</v>
      </c>
      <c r="O777">
        <f>+K777*L777*M777*N777/100</f>
        <v>0</v>
      </c>
    </row>
    <row r="778" spans="1:17">
      <c r="A778" s="19"/>
      <c r="B778" s="60" t="s">
        <v>1849</v>
      </c>
      <c r="C778" s="62">
        <v>1</v>
      </c>
      <c r="D778" s="57" t="s">
        <v>3</v>
      </c>
      <c r="E778" s="61">
        <f>Materiales!$D$701</f>
        <v>275.42372881355931</v>
      </c>
      <c r="F778" s="61">
        <f>+E778*0.18</f>
        <v>49.576271186440671</v>
      </c>
      <c r="G778" s="17">
        <f t="shared" ref="G778:G779" si="83">+C778*E778+C778*F778</f>
        <v>325</v>
      </c>
      <c r="H778" s="12"/>
      <c r="O778">
        <f>SUM(O777:O777)</f>
        <v>0</v>
      </c>
      <c r="P778">
        <f>+O778*1.05</f>
        <v>0</v>
      </c>
      <c r="Q778" t="e">
        <f>+P778/J776</f>
        <v>#DIV/0!</v>
      </c>
    </row>
    <row r="779" spans="1:17">
      <c r="A779" s="19"/>
      <c r="B779" s="60" t="s">
        <v>1656</v>
      </c>
      <c r="C779" s="62">
        <v>1</v>
      </c>
      <c r="D779" s="57" t="s">
        <v>3</v>
      </c>
      <c r="E779" s="61">
        <v>200</v>
      </c>
      <c r="F779" s="61"/>
      <c r="G779" s="17">
        <f t="shared" si="83"/>
        <v>200</v>
      </c>
      <c r="H779" s="12"/>
    </row>
    <row r="780" spans="1:17">
      <c r="A780" s="19"/>
      <c r="B780" s="56"/>
      <c r="C780" s="62"/>
      <c r="D780" s="57"/>
      <c r="E780" s="61"/>
      <c r="F780" s="61"/>
      <c r="G780" s="17"/>
      <c r="H780" s="12"/>
    </row>
    <row r="781" spans="1:17" ht="15.75" thickBot="1">
      <c r="A781" s="21"/>
      <c r="B781" s="22"/>
      <c r="C781" s="23"/>
      <c r="D781" s="24" t="s">
        <v>111</v>
      </c>
      <c r="E781" s="78"/>
      <c r="F781" s="79"/>
      <c r="G781" s="26">
        <f>SUM(G778:G780)</f>
        <v>525</v>
      </c>
      <c r="H781" s="27" t="s">
        <v>1492</v>
      </c>
    </row>
    <row r="782" spans="1:17" ht="15.75" thickTop="1"/>
    <row r="783" spans="1:17">
      <c r="A783" s="64"/>
      <c r="B783" s="370" t="s">
        <v>44</v>
      </c>
      <c r="C783" s="370"/>
      <c r="D783" s="370"/>
      <c r="E783" s="370"/>
      <c r="F783" s="370"/>
      <c r="G783" s="370"/>
      <c r="H783" s="370"/>
    </row>
    <row r="784" spans="1:17">
      <c r="A784" s="6"/>
      <c r="B784" s="7"/>
      <c r="C784" s="8" t="s">
        <v>98</v>
      </c>
      <c r="D784" s="9" t="s">
        <v>39</v>
      </c>
      <c r="E784" s="74" t="s">
        <v>99</v>
      </c>
      <c r="F784" s="75" t="s">
        <v>100</v>
      </c>
      <c r="G784" s="11" t="s">
        <v>101</v>
      </c>
      <c r="H784" s="12"/>
    </row>
    <row r="785" spans="1:10">
      <c r="A785" s="13"/>
      <c r="B785" s="60" t="s">
        <v>1608</v>
      </c>
      <c r="C785" s="57">
        <v>1</v>
      </c>
      <c r="D785" s="57" t="s">
        <v>1557</v>
      </c>
      <c r="E785" s="76">
        <v>850</v>
      </c>
      <c r="F785" s="76"/>
      <c r="G785" s="17">
        <f>+C785*E785+C785*F785</f>
        <v>850</v>
      </c>
      <c r="H785" s="18"/>
    </row>
    <row r="786" spans="1:10">
      <c r="A786" s="13"/>
      <c r="B786" s="60" t="s">
        <v>1609</v>
      </c>
      <c r="C786" s="57">
        <f>1/19</f>
        <v>5.2631578947368418E-2</v>
      </c>
      <c r="D786" s="66" t="s">
        <v>1492</v>
      </c>
      <c r="E786" s="80">
        <f>Materiales!$D$733</f>
        <v>2810.1694915254238</v>
      </c>
      <c r="F786" s="76">
        <f>+E786*0.18</f>
        <v>505.83050847457628</v>
      </c>
      <c r="G786" s="17">
        <f t="shared" ref="G786" si="84">+C786*E786+C786*F786</f>
        <v>174.52631578947367</v>
      </c>
      <c r="H786" s="18"/>
    </row>
    <row r="787" spans="1:10" ht="15.75" thickBot="1">
      <c r="A787" s="21"/>
      <c r="B787" s="22"/>
      <c r="C787" s="23"/>
      <c r="D787" s="24" t="s">
        <v>111</v>
      </c>
      <c r="E787" s="78"/>
      <c r="F787" s="79"/>
      <c r="G787" s="26">
        <f>SUM(G785:G786)</f>
        <v>1024.5263157894738</v>
      </c>
      <c r="H787" s="27" t="s">
        <v>1557</v>
      </c>
    </row>
    <row r="788" spans="1:10" ht="15.75" thickTop="1"/>
    <row r="789" spans="1:10">
      <c r="A789" s="64"/>
      <c r="B789" s="370" t="e">
        <f>#REF!</f>
        <v>#REF!</v>
      </c>
      <c r="C789" s="370"/>
      <c r="D789" s="370"/>
      <c r="E789" s="370"/>
      <c r="F789" s="370"/>
      <c r="G789" s="370"/>
      <c r="H789" s="370"/>
      <c r="J789" t="s">
        <v>42</v>
      </c>
    </row>
    <row r="790" spans="1:10">
      <c r="A790" s="6"/>
      <c r="B790" s="7"/>
      <c r="C790" s="8" t="s">
        <v>98</v>
      </c>
      <c r="D790" s="9" t="s">
        <v>39</v>
      </c>
      <c r="E790" s="74" t="s">
        <v>99</v>
      </c>
      <c r="F790" s="75" t="s">
        <v>100</v>
      </c>
      <c r="G790" s="11" t="s">
        <v>101</v>
      </c>
      <c r="H790" s="12"/>
    </row>
    <row r="791" spans="1:10">
      <c r="A791" s="13"/>
      <c r="B791" s="60" t="s">
        <v>1597</v>
      </c>
      <c r="C791" s="57">
        <f>+C796*1.3</f>
        <v>11.138400000000001</v>
      </c>
      <c r="D791" s="57" t="s">
        <v>19</v>
      </c>
      <c r="E791" s="76">
        <f>$E$767</f>
        <v>419.9</v>
      </c>
      <c r="F791" s="76"/>
      <c r="G791" s="17">
        <f>+C791*E791+C791*F791</f>
        <v>4677.0141599999997</v>
      </c>
      <c r="H791" s="18"/>
    </row>
    <row r="792" spans="1:10">
      <c r="A792" s="13"/>
      <c r="B792" s="60" t="s">
        <v>1606</v>
      </c>
      <c r="C792" s="57">
        <f>1.8*2.8*0.1</f>
        <v>0.504</v>
      </c>
      <c r="D792" s="66" t="s">
        <v>20</v>
      </c>
      <c r="E792" s="80">
        <v>13825.44</v>
      </c>
      <c r="F792" s="76">
        <f>+E792*0.18</f>
        <v>2488.5792000000001</v>
      </c>
      <c r="G792" s="17">
        <f t="shared" ref="G792:G796" si="85">+C792*E792+C792*F792</f>
        <v>8222.2656768000015</v>
      </c>
      <c r="H792" s="18"/>
    </row>
    <row r="793" spans="1:10">
      <c r="A793" s="13"/>
      <c r="B793" s="60" t="s">
        <v>1607</v>
      </c>
      <c r="C793" s="57">
        <f>1.8*2.8*0.1</f>
        <v>0.504</v>
      </c>
      <c r="D793" s="66" t="s">
        <v>20</v>
      </c>
      <c r="E793" s="80">
        <v>15321.85</v>
      </c>
      <c r="F793" s="76">
        <f>+E793*0.18</f>
        <v>2757.933</v>
      </c>
      <c r="G793" s="17">
        <f>+C793*E793+C793*F793</f>
        <v>9112.2106320000003</v>
      </c>
      <c r="H793" s="18"/>
    </row>
    <row r="794" spans="1:10">
      <c r="A794" s="13"/>
      <c r="B794" s="60" t="s">
        <v>1667</v>
      </c>
      <c r="C794" s="57">
        <f>+(1.5*2+2.5*2)*1.5</f>
        <v>12</v>
      </c>
      <c r="D794" s="57" t="s">
        <v>21</v>
      </c>
      <c r="E794" s="76">
        <f>+G304</f>
        <v>1647.7163999999998</v>
      </c>
      <c r="F794" s="76"/>
      <c r="G794" s="17">
        <f t="shared" si="85"/>
        <v>19772.596799999999</v>
      </c>
      <c r="H794" s="18"/>
    </row>
    <row r="795" spans="1:10">
      <c r="A795" s="13"/>
      <c r="B795" s="60" t="s">
        <v>1666</v>
      </c>
      <c r="C795" s="57">
        <f>3.4*4*2.5+3.4*3.4</f>
        <v>45.56</v>
      </c>
      <c r="D795" s="57" t="s">
        <v>21</v>
      </c>
      <c r="E795" s="76">
        <f>+G337</f>
        <v>424.90264500000001</v>
      </c>
      <c r="F795" s="76"/>
      <c r="G795" s="17">
        <f t="shared" si="85"/>
        <v>19358.5645062</v>
      </c>
      <c r="H795" s="18"/>
    </row>
    <row r="796" spans="1:10">
      <c r="A796" s="13"/>
      <c r="B796" s="60" t="s">
        <v>1603</v>
      </c>
      <c r="C796" s="57">
        <f>1.8*2.8*1.7</f>
        <v>8.5679999999999996</v>
      </c>
      <c r="D796" s="57" t="s">
        <v>15</v>
      </c>
      <c r="E796" s="76">
        <f>$E$772</f>
        <v>521.47907999999995</v>
      </c>
      <c r="F796" s="76"/>
      <c r="G796" s="17">
        <f t="shared" si="85"/>
        <v>4468.0327574399998</v>
      </c>
      <c r="H796" s="18"/>
    </row>
    <row r="797" spans="1:10" ht="15.75" thickBot="1">
      <c r="A797" s="21"/>
      <c r="B797" s="22"/>
      <c r="C797" s="23"/>
      <c r="D797" s="24" t="s">
        <v>111</v>
      </c>
      <c r="E797" s="78"/>
      <c r="F797" s="79"/>
      <c r="G797" s="26">
        <f>SUM(G791:G796)</f>
        <v>65610.684532440006</v>
      </c>
      <c r="H797" s="27" t="s">
        <v>1492</v>
      </c>
    </row>
    <row r="798" spans="1:10" ht="15.75" thickTop="1"/>
    <row r="799" spans="1:10">
      <c r="A799" s="64"/>
      <c r="B799" s="370" t="s">
        <v>46</v>
      </c>
      <c r="C799" s="370"/>
      <c r="D799" s="370"/>
      <c r="E799" s="370"/>
      <c r="F799" s="370"/>
      <c r="G799" s="370"/>
      <c r="H799" s="370"/>
    </row>
    <row r="800" spans="1:10">
      <c r="A800" s="6"/>
      <c r="B800" s="7"/>
      <c r="C800" s="8" t="s">
        <v>98</v>
      </c>
      <c r="D800" s="9" t="s">
        <v>39</v>
      </c>
      <c r="E800" s="74" t="s">
        <v>99</v>
      </c>
      <c r="F800" s="75" t="s">
        <v>100</v>
      </c>
      <c r="G800" s="11" t="s">
        <v>101</v>
      </c>
      <c r="H800" s="12"/>
    </row>
    <row r="801" spans="1:8">
      <c r="A801" s="13"/>
      <c r="B801" s="60" t="str">
        <f>+B799</f>
        <v>Tinaco 500 gls</v>
      </c>
      <c r="C801" s="57">
        <v>1</v>
      </c>
      <c r="D801" s="57" t="s">
        <v>1492</v>
      </c>
      <c r="E801" s="76">
        <f>Materiales!$D$1011</f>
        <v>7916.9491525423728</v>
      </c>
      <c r="F801" s="76">
        <f>+E801*0.18</f>
        <v>1425.050847457627</v>
      </c>
      <c r="G801" s="17">
        <f>+C801*E801+C801*F801</f>
        <v>9342</v>
      </c>
      <c r="H801" s="18"/>
    </row>
    <row r="802" spans="1:8">
      <c r="A802" s="13"/>
      <c r="B802" s="60" t="s">
        <v>1676</v>
      </c>
      <c r="C802" s="57">
        <v>1</v>
      </c>
      <c r="D802" s="57" t="s">
        <v>12</v>
      </c>
      <c r="E802" s="76">
        <f>1000/1.18</f>
        <v>847.45762711864415</v>
      </c>
      <c r="F802" s="76">
        <f>+E802*0.18</f>
        <v>152.54237288135593</v>
      </c>
      <c r="G802" s="17">
        <f>+C802*E802+C802*F802</f>
        <v>1000.0000000000001</v>
      </c>
      <c r="H802" s="18"/>
    </row>
    <row r="803" spans="1:8">
      <c r="A803" s="13"/>
      <c r="B803" s="60" t="s">
        <v>1661</v>
      </c>
      <c r="C803" s="57">
        <v>1</v>
      </c>
      <c r="D803" s="57" t="s">
        <v>74</v>
      </c>
      <c r="E803" s="76">
        <f>SUM(G801:G802)*0.2</f>
        <v>2068.4</v>
      </c>
      <c r="F803" s="76"/>
      <c r="G803" s="17">
        <f>+C803*E803+C803*F803</f>
        <v>2068.4</v>
      </c>
      <c r="H803" s="18"/>
    </row>
    <row r="804" spans="1:8" ht="15.75" thickBot="1">
      <c r="A804" s="21"/>
      <c r="B804" s="22"/>
      <c r="C804" s="23"/>
      <c r="D804" s="24" t="s">
        <v>111</v>
      </c>
      <c r="E804" s="78"/>
      <c r="F804" s="79"/>
      <c r="G804" s="26">
        <f>SUM(G801:G803)</f>
        <v>12410.4</v>
      </c>
      <c r="H804" s="27" t="s">
        <v>1492</v>
      </c>
    </row>
    <row r="805" spans="1:8" ht="15.75" thickTop="1"/>
    <row r="806" spans="1:8">
      <c r="A806" s="64"/>
      <c r="B806" s="370" t="e">
        <f>#REF!</f>
        <v>#REF!</v>
      </c>
      <c r="C806" s="370"/>
      <c r="D806" s="370"/>
      <c r="E806" s="370"/>
      <c r="F806" s="370"/>
      <c r="G806" s="370"/>
      <c r="H806" s="370"/>
    </row>
    <row r="807" spans="1:8">
      <c r="A807" s="6"/>
      <c r="B807" s="7"/>
      <c r="C807" s="8" t="s">
        <v>98</v>
      </c>
      <c r="D807" s="9" t="s">
        <v>39</v>
      </c>
      <c r="E807" s="74" t="s">
        <v>99</v>
      </c>
      <c r="F807" s="75" t="s">
        <v>100</v>
      </c>
      <c r="G807" s="11" t="s">
        <v>101</v>
      </c>
      <c r="H807" s="12"/>
    </row>
    <row r="808" spans="1:8">
      <c r="A808" s="13"/>
      <c r="B808" s="60" t="s">
        <v>1665</v>
      </c>
      <c r="C808" s="57">
        <v>1</v>
      </c>
      <c r="D808" s="57" t="s">
        <v>39</v>
      </c>
      <c r="E808" s="76">
        <f>Materiales!$D$1019</f>
        <v>34002.542372881355</v>
      </c>
      <c r="F808" s="76">
        <f t="shared" ref="F808" si="86">+E808*0.18</f>
        <v>6120.4576271186434</v>
      </c>
      <c r="G808" s="17">
        <f>+C808*E808+C808*F808</f>
        <v>40123</v>
      </c>
      <c r="H808" s="18"/>
    </row>
    <row r="809" spans="1:8">
      <c r="A809" s="13"/>
      <c r="B809" s="60" t="s">
        <v>1644</v>
      </c>
      <c r="C809" s="57">
        <v>1</v>
      </c>
      <c r="D809" s="57" t="s">
        <v>39</v>
      </c>
      <c r="E809" s="76">
        <v>1000</v>
      </c>
      <c r="F809" s="76"/>
      <c r="G809" s="17">
        <f t="shared" ref="G809" si="87">+C809*E809+C809*F809</f>
        <v>1000</v>
      </c>
      <c r="H809" s="18"/>
    </row>
    <row r="810" spans="1:8" ht="15.75" thickBot="1">
      <c r="A810" s="21"/>
      <c r="B810" s="22"/>
      <c r="C810" s="23"/>
      <c r="D810" s="24" t="s">
        <v>111</v>
      </c>
      <c r="E810" s="78"/>
      <c r="F810" s="79"/>
      <c r="G810" s="26">
        <f>SUM(G808:G809)</f>
        <v>41123</v>
      </c>
      <c r="H810" s="27" t="s">
        <v>1492</v>
      </c>
    </row>
    <row r="811" spans="1:8" ht="15.75" thickTop="1"/>
    <row r="812" spans="1:8" ht="27.75" customHeight="1">
      <c r="A812" s="64"/>
      <c r="B812" s="370" t="e">
        <f>#REF!</f>
        <v>#REF!</v>
      </c>
      <c r="C812" s="370"/>
      <c r="D812" s="370"/>
      <c r="E812" s="370"/>
      <c r="F812" s="370"/>
      <c r="G812" s="370"/>
      <c r="H812" s="370"/>
    </row>
    <row r="813" spans="1:8">
      <c r="A813" s="6"/>
      <c r="B813" s="7"/>
      <c r="C813" s="8" t="s">
        <v>98</v>
      </c>
      <c r="D813" s="9" t="s">
        <v>39</v>
      </c>
      <c r="E813" s="74" t="s">
        <v>99</v>
      </c>
      <c r="F813" s="75" t="s">
        <v>100</v>
      </c>
      <c r="G813" s="11" t="s">
        <v>101</v>
      </c>
      <c r="H813" s="12"/>
    </row>
    <row r="814" spans="1:8">
      <c r="A814" s="13"/>
      <c r="B814" s="60" t="s">
        <v>1692</v>
      </c>
      <c r="C814" s="57">
        <v>1</v>
      </c>
      <c r="D814" s="57" t="s">
        <v>14</v>
      </c>
      <c r="E814" s="76">
        <v>50</v>
      </c>
      <c r="F814" s="76"/>
      <c r="G814" s="17">
        <f>+C814*E814+C814*F814</f>
        <v>50</v>
      </c>
      <c r="H814" s="18"/>
    </row>
    <row r="815" spans="1:8">
      <c r="A815" s="13"/>
      <c r="B815" s="60" t="s">
        <v>1668</v>
      </c>
      <c r="C815" s="57">
        <f>1*1*0.3</f>
        <v>0.3</v>
      </c>
      <c r="D815" s="57" t="s">
        <v>19</v>
      </c>
      <c r="E815" s="76">
        <f>$E$767</f>
        <v>419.9</v>
      </c>
      <c r="F815" s="76"/>
      <c r="G815" s="17">
        <f>+C815*E815+C815*F815</f>
        <v>125.96999999999998</v>
      </c>
      <c r="H815" s="18"/>
    </row>
    <row r="816" spans="1:8">
      <c r="A816" s="13"/>
      <c r="B816" s="60" t="s">
        <v>1669</v>
      </c>
      <c r="C816" s="57">
        <v>0.25</v>
      </c>
      <c r="D816" s="66" t="s">
        <v>20</v>
      </c>
      <c r="E816" s="80">
        <v>95.320574999999991</v>
      </c>
      <c r="F816" s="76"/>
      <c r="G816" s="17">
        <f t="shared" ref="G816" si="88">+C816*E816+C816*F816</f>
        <v>23.830143749999998</v>
      </c>
      <c r="H816" s="18"/>
    </row>
    <row r="817" spans="1:10">
      <c r="A817" s="13"/>
      <c r="B817" s="60" t="s">
        <v>1670</v>
      </c>
      <c r="C817" s="57">
        <f>0.3*0.2</f>
        <v>0.06</v>
      </c>
      <c r="D817" s="66" t="s">
        <v>20</v>
      </c>
      <c r="E817" s="80">
        <f>Materiales!$F$13</f>
        <v>1300</v>
      </c>
      <c r="F817" s="76"/>
      <c r="G817" s="17">
        <f>+C817*E817+C817*F817</f>
        <v>78</v>
      </c>
      <c r="H817" s="18"/>
      <c r="I817">
        <f>1/J818</f>
        <v>0.1726842105263158</v>
      </c>
    </row>
    <row r="818" spans="1:10">
      <c r="A818" s="13"/>
      <c r="B818" s="60" t="s">
        <v>1671</v>
      </c>
      <c r="C818" s="57">
        <f>1/(19/3.281)</f>
        <v>0.1726842105263158</v>
      </c>
      <c r="D818" s="57" t="s">
        <v>40</v>
      </c>
      <c r="E818" s="76">
        <f>Materiales!$D$731</f>
        <v>507.62711864406776</v>
      </c>
      <c r="F818" s="76">
        <f>+E818*0.18</f>
        <v>91.372881355932194</v>
      </c>
      <c r="G818" s="17">
        <f t="shared" ref="G818:G819" si="89">+C818*E818+C818*F818</f>
        <v>103.43784210526314</v>
      </c>
      <c r="H818" s="18"/>
      <c r="J818">
        <f>19/3.281</f>
        <v>5.790917403230722</v>
      </c>
    </row>
    <row r="819" spans="1:10">
      <c r="A819" s="13"/>
      <c r="B819" s="60" t="s">
        <v>80</v>
      </c>
      <c r="C819" s="57">
        <v>1</v>
      </c>
      <c r="D819" s="57" t="s">
        <v>78</v>
      </c>
      <c r="E819" s="76">
        <f>SUM(G815:G818)*0.3</f>
        <v>99.371395756578934</v>
      </c>
      <c r="F819" s="76"/>
      <c r="G819" s="17">
        <f t="shared" si="89"/>
        <v>99.371395756578934</v>
      </c>
      <c r="H819" s="18"/>
    </row>
    <row r="820" spans="1:10" ht="15.75" thickBot="1">
      <c r="A820" s="21"/>
      <c r="B820" s="22"/>
      <c r="C820" s="23"/>
      <c r="D820" s="24" t="s">
        <v>111</v>
      </c>
      <c r="E820" s="78"/>
      <c r="F820" s="79"/>
      <c r="G820" s="26">
        <f>SUM(G814:G819)</f>
        <v>480.60938161184202</v>
      </c>
      <c r="H820" s="27" t="s">
        <v>14</v>
      </c>
    </row>
    <row r="821" spans="1:10" ht="15.75" thickTop="1"/>
    <row r="822" spans="1:10" ht="27.75" customHeight="1">
      <c r="A822" s="64"/>
      <c r="B822" s="370" t="e">
        <f>#REF!</f>
        <v>#REF!</v>
      </c>
      <c r="C822" s="370"/>
      <c r="D822" s="370"/>
      <c r="E822" s="370"/>
      <c r="F822" s="370"/>
      <c r="G822" s="370"/>
      <c r="H822" s="370"/>
    </row>
    <row r="823" spans="1:10">
      <c r="A823" s="6"/>
      <c r="B823" s="7"/>
      <c r="C823" s="8" t="s">
        <v>98</v>
      </c>
      <c r="D823" s="9" t="s">
        <v>39</v>
      </c>
      <c r="E823" s="74" t="s">
        <v>99</v>
      </c>
      <c r="F823" s="75" t="s">
        <v>100</v>
      </c>
      <c r="G823" s="11" t="s">
        <v>101</v>
      </c>
      <c r="H823" s="12"/>
    </row>
    <row r="824" spans="1:10">
      <c r="A824" s="13"/>
      <c r="B824" s="60" t="s">
        <v>1692</v>
      </c>
      <c r="C824" s="57">
        <v>1</v>
      </c>
      <c r="D824" s="57" t="s">
        <v>14</v>
      </c>
      <c r="E824" s="76">
        <v>50</v>
      </c>
      <c r="F824" s="76"/>
      <c r="G824" s="17">
        <f>+C824*E824+C824*F824</f>
        <v>50</v>
      </c>
      <c r="H824" s="18"/>
    </row>
    <row r="825" spans="1:10">
      <c r="A825" s="13"/>
      <c r="B825" s="60" t="s">
        <v>1668</v>
      </c>
      <c r="C825" s="57">
        <f>1*1*0.3</f>
        <v>0.3</v>
      </c>
      <c r="D825" s="57" t="s">
        <v>19</v>
      </c>
      <c r="E825" s="76">
        <f>$E$767</f>
        <v>419.9</v>
      </c>
      <c r="F825" s="76"/>
      <c r="G825" s="17">
        <f>+C825*E825+C825*F825</f>
        <v>125.96999999999998</v>
      </c>
      <c r="H825" s="18"/>
    </row>
    <row r="826" spans="1:10">
      <c r="A826" s="13"/>
      <c r="B826" s="60" t="s">
        <v>1669</v>
      </c>
      <c r="C826" s="57">
        <v>0.25</v>
      </c>
      <c r="D826" s="66" t="s">
        <v>20</v>
      </c>
      <c r="E826" s="80">
        <f>+E816</f>
        <v>95.320574999999991</v>
      </c>
      <c r="F826" s="76"/>
      <c r="G826" s="17">
        <f t="shared" ref="G826" si="90">+C826*E826+C826*F826</f>
        <v>23.830143749999998</v>
      </c>
      <c r="H826" s="18"/>
    </row>
    <row r="827" spans="1:10">
      <c r="A827" s="13"/>
      <c r="B827" s="60" t="s">
        <v>1670</v>
      </c>
      <c r="C827" s="57">
        <f>0.3*0.2</f>
        <v>0.06</v>
      </c>
      <c r="D827" s="66" t="s">
        <v>20</v>
      </c>
      <c r="E827" s="80">
        <f>Materiales!$F$13</f>
        <v>1300</v>
      </c>
      <c r="F827" s="76"/>
      <c r="G827" s="17">
        <f>+C827*E827+C827*F827</f>
        <v>78</v>
      </c>
      <c r="H827" s="18"/>
      <c r="I827">
        <f>1/J828</f>
        <v>0.1726842105263158</v>
      </c>
    </row>
    <row r="828" spans="1:10">
      <c r="A828" s="13"/>
      <c r="B828" s="60" t="s">
        <v>1671</v>
      </c>
      <c r="C828" s="57">
        <f>1/(19/3.281)</f>
        <v>0.1726842105263158</v>
      </c>
      <c r="D828" s="57" t="s">
        <v>40</v>
      </c>
      <c r="E828" s="76">
        <f>Materiales!$D$731</f>
        <v>507.62711864406776</v>
      </c>
      <c r="F828" s="76">
        <f>+E828*0.18</f>
        <v>91.372881355932194</v>
      </c>
      <c r="G828" s="17">
        <f t="shared" ref="G828:G829" si="91">+C828*E828+C828*F828</f>
        <v>103.43784210526314</v>
      </c>
      <c r="H828" s="18"/>
      <c r="J828">
        <f>19/3.281</f>
        <v>5.790917403230722</v>
      </c>
    </row>
    <row r="829" spans="1:10">
      <c r="A829" s="13"/>
      <c r="B829" s="60" t="s">
        <v>80</v>
      </c>
      <c r="C829" s="57">
        <v>1</v>
      </c>
      <c r="D829" s="57" t="s">
        <v>78</v>
      </c>
      <c r="E829" s="76">
        <f>SUM(G825:G828)*0.3</f>
        <v>99.371395756578934</v>
      </c>
      <c r="F829" s="76"/>
      <c r="G829" s="17">
        <f t="shared" si="91"/>
        <v>99.371395756578934</v>
      </c>
      <c r="H829" s="18"/>
    </row>
    <row r="830" spans="1:10" ht="15.75" thickBot="1">
      <c r="A830" s="21"/>
      <c r="B830" s="22"/>
      <c r="C830" s="23"/>
      <c r="D830" s="24" t="s">
        <v>111</v>
      </c>
      <c r="E830" s="78"/>
      <c r="F830" s="79"/>
      <c r="G830" s="26">
        <f>SUM(G824:G829)</f>
        <v>480.60938161184202</v>
      </c>
      <c r="H830" s="27" t="s">
        <v>14</v>
      </c>
    </row>
    <row r="831" spans="1:10" ht="15.75" thickTop="1"/>
    <row r="832" spans="1:10" ht="27.75" customHeight="1">
      <c r="A832" s="64"/>
      <c r="B832" s="370" t="s">
        <v>1879</v>
      </c>
      <c r="C832" s="370"/>
      <c r="D832" s="370"/>
      <c r="E832" s="370"/>
      <c r="F832" s="370"/>
      <c r="G832" s="370"/>
      <c r="H832" s="370"/>
    </row>
    <row r="833" spans="1:10">
      <c r="A833" s="6"/>
      <c r="B833" s="7"/>
      <c r="C833" s="8" t="s">
        <v>98</v>
      </c>
      <c r="D833" s="9" t="s">
        <v>39</v>
      </c>
      <c r="E833" s="74" t="s">
        <v>99</v>
      </c>
      <c r="F833" s="75" t="s">
        <v>100</v>
      </c>
      <c r="G833" s="11" t="s">
        <v>101</v>
      </c>
      <c r="H833" s="12"/>
    </row>
    <row r="834" spans="1:10">
      <c r="A834" s="13"/>
      <c r="B834" s="60" t="s">
        <v>1692</v>
      </c>
      <c r="C834" s="57">
        <v>1</v>
      </c>
      <c r="D834" s="57" t="s">
        <v>14</v>
      </c>
      <c r="E834" s="76">
        <v>50</v>
      </c>
      <c r="F834" s="76"/>
      <c r="G834" s="17">
        <f>+C834*E834+C834*F834</f>
        <v>50</v>
      </c>
      <c r="H834" s="18"/>
    </row>
    <row r="835" spans="1:10">
      <c r="A835" s="13"/>
      <c r="B835" s="60" t="s">
        <v>1668</v>
      </c>
      <c r="C835" s="57">
        <f>1*1*0.3</f>
        <v>0.3</v>
      </c>
      <c r="D835" s="57" t="s">
        <v>19</v>
      </c>
      <c r="E835" s="76">
        <f>$E$767</f>
        <v>419.9</v>
      </c>
      <c r="F835" s="76"/>
      <c r="G835" s="17">
        <f>+C835*E835+C835*F835</f>
        <v>125.96999999999998</v>
      </c>
      <c r="H835" s="18"/>
    </row>
    <row r="836" spans="1:10">
      <c r="A836" s="13"/>
      <c r="B836" s="60" t="s">
        <v>1669</v>
      </c>
      <c r="C836" s="57">
        <v>0.25</v>
      </c>
      <c r="D836" s="66" t="s">
        <v>20</v>
      </c>
      <c r="E836" s="80">
        <f>+E826</f>
        <v>95.320574999999991</v>
      </c>
      <c r="F836" s="76"/>
      <c r="G836" s="17">
        <f t="shared" ref="G836" si="92">+C836*E836+C836*F836</f>
        <v>23.830143749999998</v>
      </c>
      <c r="H836" s="18"/>
    </row>
    <row r="837" spans="1:10">
      <c r="A837" s="13"/>
      <c r="B837" s="60" t="s">
        <v>1670</v>
      </c>
      <c r="C837" s="57">
        <f>0.3*0.2</f>
        <v>0.06</v>
      </c>
      <c r="D837" s="66" t="s">
        <v>20</v>
      </c>
      <c r="E837" s="80">
        <f>Materiales!$F$13</f>
        <v>1300</v>
      </c>
      <c r="F837" s="76"/>
      <c r="G837" s="17">
        <f>+C837*E837+C837*F837</f>
        <v>78</v>
      </c>
      <c r="H837" s="18"/>
      <c r="I837">
        <f>1/J838</f>
        <v>0.1726842105263158</v>
      </c>
    </row>
    <row r="838" spans="1:10">
      <c r="A838" s="13"/>
      <c r="B838" s="60" t="s">
        <v>1672</v>
      </c>
      <c r="C838" s="57">
        <f>1/(19/3.281)</f>
        <v>0.1726842105263158</v>
      </c>
      <c r="D838" s="57" t="s">
        <v>40</v>
      </c>
      <c r="E838" s="76">
        <f>Materiales!$D$729</f>
        <v>207.62711864406779</v>
      </c>
      <c r="F838" s="76">
        <f>+E838*0.18</f>
        <v>37.372881355932201</v>
      </c>
      <c r="G838" s="17">
        <f t="shared" ref="G838:G839" si="93">+C838*E838+C838*F838</f>
        <v>42.307631578947372</v>
      </c>
      <c r="H838" s="18"/>
      <c r="J838">
        <f>19/3.281</f>
        <v>5.790917403230722</v>
      </c>
    </row>
    <row r="839" spans="1:10">
      <c r="A839" s="13"/>
      <c r="B839" s="60" t="s">
        <v>80</v>
      </c>
      <c r="C839" s="57">
        <v>1</v>
      </c>
      <c r="D839" s="57" t="s">
        <v>78</v>
      </c>
      <c r="E839" s="76">
        <f>SUM(G835:G838)*0.3</f>
        <v>81.032332598684206</v>
      </c>
      <c r="F839" s="76"/>
      <c r="G839" s="17">
        <f t="shared" si="93"/>
        <v>81.032332598684206</v>
      </c>
      <c r="H839" s="18"/>
    </row>
    <row r="840" spans="1:10" ht="15.75" thickBot="1">
      <c r="A840" s="21"/>
      <c r="B840" s="22"/>
      <c r="C840" s="23"/>
      <c r="D840" s="24" t="s">
        <v>111</v>
      </c>
      <c r="E840" s="78"/>
      <c r="F840" s="79"/>
      <c r="G840" s="26">
        <f>SUM(G834:G839)</f>
        <v>401.14010792763156</v>
      </c>
      <c r="H840" s="27" t="s">
        <v>14</v>
      </c>
    </row>
    <row r="841" spans="1:10" ht="15.75" thickTop="1"/>
    <row r="842" spans="1:10" ht="27.75" customHeight="1">
      <c r="A842" s="64"/>
      <c r="B842" s="370" t="e">
        <f>#REF!</f>
        <v>#REF!</v>
      </c>
      <c r="C842" s="370"/>
      <c r="D842" s="370"/>
      <c r="E842" s="370"/>
      <c r="F842" s="370"/>
      <c r="G842" s="370"/>
      <c r="H842" s="370"/>
    </row>
    <row r="843" spans="1:10">
      <c r="A843" s="6"/>
      <c r="B843" s="7"/>
      <c r="C843" s="8" t="s">
        <v>98</v>
      </c>
      <c r="D843" s="9" t="s">
        <v>39</v>
      </c>
      <c r="E843" s="74" t="s">
        <v>99</v>
      </c>
      <c r="F843" s="75" t="s">
        <v>100</v>
      </c>
      <c r="G843" s="11" t="s">
        <v>101</v>
      </c>
      <c r="H843" s="12"/>
    </row>
    <row r="844" spans="1:10">
      <c r="A844" s="13"/>
      <c r="B844" s="60" t="s">
        <v>1692</v>
      </c>
      <c r="C844" s="57">
        <v>1</v>
      </c>
      <c r="D844" s="57" t="s">
        <v>14</v>
      </c>
      <c r="E844" s="76">
        <v>50</v>
      </c>
      <c r="F844" s="76"/>
      <c r="G844" s="17">
        <f>+C844*E844+C844*F844</f>
        <v>50</v>
      </c>
      <c r="H844" s="18"/>
    </row>
    <row r="845" spans="1:10">
      <c r="A845" s="13"/>
      <c r="B845" s="60" t="s">
        <v>1668</v>
      </c>
      <c r="C845" s="57">
        <v>0.15</v>
      </c>
      <c r="D845" s="57" t="s">
        <v>19</v>
      </c>
      <c r="E845" s="76">
        <f>$E$767</f>
        <v>419.9</v>
      </c>
      <c r="F845" s="76"/>
      <c r="G845" s="17">
        <f>+C845*E845+C845*F845</f>
        <v>62.984999999999992</v>
      </c>
      <c r="H845" s="18"/>
    </row>
    <row r="846" spans="1:10">
      <c r="A846" s="13"/>
      <c r="B846" s="60" t="s">
        <v>1669</v>
      </c>
      <c r="C846" s="57">
        <v>0.1</v>
      </c>
      <c r="D846" s="66" t="s">
        <v>20</v>
      </c>
      <c r="E846" s="80">
        <f>+E836</f>
        <v>95.320574999999991</v>
      </c>
      <c r="F846" s="76"/>
      <c r="G846" s="17">
        <f t="shared" ref="G846" si="94">+C846*E846+C846*F846</f>
        <v>9.5320574999999987</v>
      </c>
      <c r="H846" s="18"/>
    </row>
    <row r="847" spans="1:10">
      <c r="A847" s="13"/>
      <c r="B847" s="60" t="s">
        <v>1670</v>
      </c>
      <c r="C847" s="57">
        <v>0.03</v>
      </c>
      <c r="D847" s="66" t="s">
        <v>20</v>
      </c>
      <c r="E847" s="80">
        <f>Materiales!$F$13</f>
        <v>1300</v>
      </c>
      <c r="F847" s="76"/>
      <c r="G847" s="17">
        <f>+C847*E847+C847*F847</f>
        <v>39</v>
      </c>
      <c r="H847" s="18"/>
      <c r="I847">
        <f>1/J848</f>
        <v>0.1726842105263158</v>
      </c>
    </row>
    <row r="848" spans="1:10">
      <c r="A848" s="13"/>
      <c r="B848" s="60" t="s">
        <v>1673</v>
      </c>
      <c r="C848" s="57">
        <f>1/(19/3.281)</f>
        <v>0.1726842105263158</v>
      </c>
      <c r="D848" s="57" t="s">
        <v>40</v>
      </c>
      <c r="E848" s="76">
        <f>Materiales!$D$612</f>
        <v>262.71186440677968</v>
      </c>
      <c r="F848" s="76">
        <f>+E848*0.18</f>
        <v>47.288135593220339</v>
      </c>
      <c r="G848" s="17">
        <f t="shared" ref="G848:G849" si="95">+C848*E848+C848*F848</f>
        <v>53.532105263157902</v>
      </c>
      <c r="H848" s="18"/>
      <c r="J848">
        <f>19/3.281</f>
        <v>5.790917403230722</v>
      </c>
    </row>
    <row r="849" spans="1:8">
      <c r="A849" s="13"/>
      <c r="B849" s="60" t="s">
        <v>80</v>
      </c>
      <c r="C849" s="57">
        <v>1</v>
      </c>
      <c r="D849" s="57" t="s">
        <v>78</v>
      </c>
      <c r="E849" s="76">
        <f>SUM(G848:G848)*0.3</f>
        <v>16.059631578947371</v>
      </c>
      <c r="F849" s="76"/>
      <c r="G849" s="17">
        <f t="shared" si="95"/>
        <v>16.059631578947371</v>
      </c>
      <c r="H849" s="18"/>
    </row>
    <row r="850" spans="1:8" ht="15.75" thickBot="1">
      <c r="A850" s="21"/>
      <c r="B850" s="22"/>
      <c r="C850" s="23"/>
      <c r="D850" s="24" t="s">
        <v>111</v>
      </c>
      <c r="E850" s="78"/>
      <c r="F850" s="79"/>
      <c r="G850" s="26">
        <f>SUM(G844:G849)</f>
        <v>231.10879434210526</v>
      </c>
      <c r="H850" s="27" t="s">
        <v>14</v>
      </c>
    </row>
    <row r="851" spans="1:8" ht="15.75" thickTop="1"/>
    <row r="852" spans="1:8">
      <c r="A852" s="53"/>
      <c r="B852" s="53" t="e">
        <f>#REF!</f>
        <v>#REF!</v>
      </c>
      <c r="C852" s="54"/>
      <c r="D852" s="54"/>
      <c r="E852" s="72"/>
      <c r="F852" s="72"/>
      <c r="G852" s="54"/>
      <c r="H852" s="54"/>
    </row>
    <row r="853" spans="1:8" ht="12.75" customHeight="1">
      <c r="C853" s="68"/>
    </row>
    <row r="854" spans="1:8" ht="12.75" customHeight="1">
      <c r="A854" s="4"/>
      <c r="B854" s="370" t="e">
        <f>#REF!</f>
        <v>#REF!</v>
      </c>
      <c r="C854" s="370"/>
      <c r="D854" s="370"/>
      <c r="E854" s="370"/>
      <c r="F854" s="370"/>
      <c r="G854" s="370"/>
      <c r="H854" s="370"/>
    </row>
    <row r="855" spans="1:8" ht="12.75" customHeight="1">
      <c r="A855" s="6"/>
      <c r="B855" s="7"/>
      <c r="C855" s="69" t="s">
        <v>98</v>
      </c>
      <c r="D855" s="9" t="s">
        <v>39</v>
      </c>
      <c r="E855" s="74" t="s">
        <v>99</v>
      </c>
      <c r="F855" s="75" t="s">
        <v>100</v>
      </c>
      <c r="G855" s="11" t="s">
        <v>101</v>
      </c>
      <c r="H855" s="12"/>
    </row>
    <row r="856" spans="1:8" ht="12.75" customHeight="1">
      <c r="A856" s="13"/>
      <c r="B856" s="56" t="s">
        <v>1692</v>
      </c>
      <c r="C856" s="70">
        <f>3.1*3.1</f>
        <v>9.6100000000000012</v>
      </c>
      <c r="D856" s="57" t="s">
        <v>21</v>
      </c>
      <c r="E856" s="76">
        <f>$G$9</f>
        <v>44</v>
      </c>
      <c r="F856" s="76"/>
      <c r="G856" s="17">
        <f>+C856*E856+C856*F856</f>
        <v>422.84000000000003</v>
      </c>
      <c r="H856" s="18"/>
    </row>
    <row r="857" spans="1:8" ht="15.75" thickBot="1">
      <c r="A857" s="21"/>
      <c r="B857" s="22"/>
      <c r="C857" s="71"/>
      <c r="D857" s="24" t="s">
        <v>111</v>
      </c>
      <c r="E857" s="78"/>
      <c r="F857" s="79"/>
      <c r="G857" s="26">
        <f>SUM(G856:G856)</f>
        <v>422.84000000000003</v>
      </c>
      <c r="H857" s="27" t="s">
        <v>12</v>
      </c>
    </row>
    <row r="858" spans="1:8" ht="12.75" customHeight="1" thickTop="1">
      <c r="C858" s="68"/>
    </row>
    <row r="859" spans="1:8" ht="12.75" customHeight="1">
      <c r="A859" s="4"/>
      <c r="B859" s="370" t="s">
        <v>48</v>
      </c>
      <c r="C859" s="370"/>
      <c r="D859" s="370"/>
      <c r="E859" s="370"/>
      <c r="F859" s="370"/>
      <c r="G859" s="370"/>
      <c r="H859" s="370"/>
    </row>
    <row r="860" spans="1:8" ht="12.75" customHeight="1">
      <c r="A860" s="6"/>
      <c r="B860" s="7"/>
      <c r="C860" s="69" t="s">
        <v>98</v>
      </c>
      <c r="D860" s="9" t="s">
        <v>39</v>
      </c>
      <c r="E860" s="74" t="s">
        <v>99</v>
      </c>
      <c r="F860" s="75" t="s">
        <v>100</v>
      </c>
      <c r="G860" s="11" t="s">
        <v>101</v>
      </c>
      <c r="H860" s="12"/>
    </row>
    <row r="861" spans="1:8" ht="12.75" customHeight="1">
      <c r="A861" s="13"/>
      <c r="B861" s="56" t="s">
        <v>1637</v>
      </c>
      <c r="C861" s="70">
        <v>0.35</v>
      </c>
      <c r="D861" s="57" t="s">
        <v>1638</v>
      </c>
      <c r="E861" s="76">
        <v>358.33</v>
      </c>
      <c r="F861" s="76"/>
      <c r="G861" s="17">
        <f>+C861*E861+C861*F861</f>
        <v>125.41549999999998</v>
      </c>
      <c r="H861" s="18"/>
    </row>
    <row r="862" spans="1:8" ht="12.75" customHeight="1">
      <c r="A862" s="13"/>
      <c r="B862" s="56" t="s">
        <v>1639</v>
      </c>
      <c r="C862" s="70">
        <f>0.35*4</f>
        <v>1.4</v>
      </c>
      <c r="D862" s="57" t="s">
        <v>1638</v>
      </c>
      <c r="E862" s="76">
        <v>123.44</v>
      </c>
      <c r="F862" s="76"/>
      <c r="G862" s="17">
        <f>+C862*E862+C862*F862</f>
        <v>172.81599999999997</v>
      </c>
      <c r="H862" s="18"/>
    </row>
    <row r="863" spans="1:8" ht="12.75" customHeight="1">
      <c r="A863" s="13"/>
      <c r="B863" s="56" t="s">
        <v>1640</v>
      </c>
      <c r="C863" s="70">
        <v>0.02</v>
      </c>
      <c r="D863" s="57" t="s">
        <v>47</v>
      </c>
      <c r="E863" s="76">
        <f>SUM(G861:G862)</f>
        <v>298.23149999999998</v>
      </c>
      <c r="F863" s="76"/>
      <c r="G863" s="17">
        <f>+C863*E863+C863*F863</f>
        <v>5.9646299999999997</v>
      </c>
      <c r="H863" s="18"/>
    </row>
    <row r="864" spans="1:8" ht="15.75" thickBot="1">
      <c r="A864" s="21"/>
      <c r="B864" s="22"/>
      <c r="C864" s="71"/>
      <c r="D864" s="24" t="s">
        <v>111</v>
      </c>
      <c r="E864" s="78"/>
      <c r="F864" s="79"/>
      <c r="G864" s="26">
        <f>SUM(G861:G863)</f>
        <v>304.19612999999998</v>
      </c>
      <c r="H864" s="27" t="s">
        <v>20</v>
      </c>
    </row>
    <row r="865" spans="1:8" ht="12.75" customHeight="1" thickTop="1">
      <c r="C865" s="68"/>
    </row>
    <row r="866" spans="1:8" ht="12.75" customHeight="1">
      <c r="A866" s="4"/>
      <c r="B866" s="370" t="s">
        <v>16</v>
      </c>
      <c r="C866" s="370"/>
      <c r="D866" s="370"/>
      <c r="E866" s="370"/>
      <c r="F866" s="370"/>
      <c r="G866" s="370"/>
      <c r="H866" s="370"/>
    </row>
    <row r="867" spans="1:8" ht="12.75" customHeight="1">
      <c r="A867" s="6"/>
      <c r="B867" s="7"/>
      <c r="C867" s="69" t="s">
        <v>98</v>
      </c>
      <c r="D867" s="9" t="s">
        <v>39</v>
      </c>
      <c r="E867" s="74" t="s">
        <v>99</v>
      </c>
      <c r="F867" s="75" t="s">
        <v>100</v>
      </c>
      <c r="G867" s="11" t="s">
        <v>101</v>
      </c>
      <c r="H867" s="12"/>
    </row>
    <row r="868" spans="1:8" ht="12.75" customHeight="1">
      <c r="A868" s="13"/>
      <c r="B868" s="56" t="s">
        <v>1637</v>
      </c>
      <c r="C868" s="70">
        <v>0.15</v>
      </c>
      <c r="D868" s="57" t="s">
        <v>1638</v>
      </c>
      <c r="E868" s="76">
        <v>358.33</v>
      </c>
      <c r="F868" s="76"/>
      <c r="G868" s="17">
        <f>+C868*E868+C868*F868</f>
        <v>53.749499999999998</v>
      </c>
      <c r="H868" s="18"/>
    </row>
    <row r="869" spans="1:8" ht="12.75" customHeight="1">
      <c r="A869" s="13"/>
      <c r="B869" s="56" t="s">
        <v>1641</v>
      </c>
      <c r="C869" s="70">
        <v>0.3</v>
      </c>
      <c r="D869" s="57" t="s">
        <v>1638</v>
      </c>
      <c r="E869" s="76">
        <v>123.44</v>
      </c>
      <c r="F869" s="76"/>
      <c r="G869" s="17">
        <f>+C869*E869+C869*F869</f>
        <v>37.031999999999996</v>
      </c>
      <c r="H869" s="18"/>
    </row>
    <row r="870" spans="1:8" ht="12.75" customHeight="1">
      <c r="A870" s="13"/>
      <c r="B870" s="56" t="s">
        <v>1642</v>
      </c>
      <c r="C870" s="70">
        <v>0.05</v>
      </c>
      <c r="D870" s="57" t="s">
        <v>47</v>
      </c>
      <c r="E870" s="76">
        <f>SUM(G868:G869)</f>
        <v>90.781499999999994</v>
      </c>
      <c r="F870" s="76"/>
      <c r="G870" s="17">
        <f>+C870*E870+C870*F870</f>
        <v>4.5390749999999995</v>
      </c>
      <c r="H870" s="18"/>
    </row>
    <row r="871" spans="1:8" ht="15.75" thickBot="1">
      <c r="A871" s="21"/>
      <c r="B871" s="22"/>
      <c r="C871" s="71"/>
      <c r="D871" s="24" t="s">
        <v>111</v>
      </c>
      <c r="E871" s="78"/>
      <c r="F871" s="79"/>
      <c r="G871" s="26">
        <f>SUM(G868:G870)</f>
        <v>95.320574999999991</v>
      </c>
      <c r="H871" s="27" t="s">
        <v>20</v>
      </c>
    </row>
    <row r="872" spans="1:8" ht="15.75" thickTop="1">
      <c r="B872" s="55"/>
    </row>
    <row r="873" spans="1:8">
      <c r="A873" s="4"/>
      <c r="B873" s="370" t="s">
        <v>49</v>
      </c>
      <c r="C873" s="370"/>
      <c r="D873" s="370"/>
      <c r="E873" s="370"/>
      <c r="F873" s="370"/>
      <c r="G873" s="370"/>
      <c r="H873" s="370"/>
    </row>
    <row r="874" spans="1:8">
      <c r="A874" s="6"/>
      <c r="B874" s="7"/>
      <c r="C874" s="8" t="s">
        <v>98</v>
      </c>
      <c r="D874" s="9" t="s">
        <v>39</v>
      </c>
      <c r="E874" s="74" t="s">
        <v>99</v>
      </c>
      <c r="F874" s="75" t="s">
        <v>100</v>
      </c>
      <c r="G874" s="11" t="s">
        <v>101</v>
      </c>
      <c r="H874" s="12"/>
    </row>
    <row r="875" spans="1:8">
      <c r="A875" s="6"/>
      <c r="B875" s="7"/>
      <c r="C875" s="8"/>
      <c r="D875" s="9"/>
      <c r="E875" s="74"/>
      <c r="F875" s="75"/>
      <c r="G875" s="11"/>
      <c r="H875" s="12"/>
    </row>
    <row r="876" spans="1:8">
      <c r="A876" s="19"/>
      <c r="B876" s="56" t="s">
        <v>1505</v>
      </c>
      <c r="C876" s="62">
        <v>1</v>
      </c>
      <c r="D876" s="57" t="s">
        <v>1506</v>
      </c>
      <c r="E876" s="61">
        <v>78.5</v>
      </c>
      <c r="F876" s="61"/>
      <c r="G876" s="17">
        <f>+C876*E876+C876*F876</f>
        <v>78.5</v>
      </c>
      <c r="H876" s="12"/>
    </row>
    <row r="877" spans="1:8">
      <c r="A877" s="19"/>
      <c r="B877" s="56" t="s">
        <v>1507</v>
      </c>
      <c r="C877" s="62">
        <v>5</v>
      </c>
      <c r="D877" s="57" t="s">
        <v>1506</v>
      </c>
      <c r="E877" s="61">
        <v>24.76</v>
      </c>
      <c r="F877" s="61"/>
      <c r="G877" s="17">
        <f>+C877*E877+C877*F877</f>
        <v>123.80000000000001</v>
      </c>
      <c r="H877" s="18"/>
    </row>
    <row r="878" spans="1:8">
      <c r="A878" s="19"/>
      <c r="B878" s="56" t="s">
        <v>1508</v>
      </c>
      <c r="C878" s="62">
        <v>5</v>
      </c>
      <c r="D878" s="57" t="s">
        <v>1506</v>
      </c>
      <c r="E878" s="61">
        <v>19.22</v>
      </c>
      <c r="F878" s="61"/>
      <c r="G878" s="17">
        <f>+C878*E878+C878*F878</f>
        <v>96.1</v>
      </c>
      <c r="H878" s="12"/>
    </row>
    <row r="879" spans="1:8">
      <c r="A879" s="19"/>
      <c r="B879" s="56"/>
      <c r="C879" s="62"/>
      <c r="D879" s="57"/>
      <c r="E879" s="61"/>
      <c r="F879" s="61"/>
      <c r="G879" s="17"/>
      <c r="H879" s="12"/>
    </row>
    <row r="880" spans="1:8" ht="15.75" thickBot="1">
      <c r="A880" s="21"/>
      <c r="B880" s="22"/>
      <c r="C880" s="23"/>
      <c r="D880" s="24" t="s">
        <v>111</v>
      </c>
      <c r="E880" s="78"/>
      <c r="F880" s="79"/>
      <c r="G880" s="26">
        <f>SUM(G876:G879)</f>
        <v>298.39999999999998</v>
      </c>
      <c r="H880" s="27" t="s">
        <v>106</v>
      </c>
    </row>
    <row r="881" spans="1:17" ht="15.75" thickTop="1">
      <c r="B881" s="55"/>
    </row>
    <row r="882" spans="1:17">
      <c r="A882" s="64"/>
      <c r="B882" s="370" t="s">
        <v>50</v>
      </c>
      <c r="C882" s="370"/>
      <c r="D882" s="370"/>
      <c r="E882" s="370"/>
      <c r="F882" s="370"/>
      <c r="G882" s="370"/>
      <c r="H882" s="370"/>
      <c r="J882">
        <v>4.4999999999999998E-2</v>
      </c>
      <c r="K882">
        <v>2.2222</v>
      </c>
      <c r="L882">
        <v>0</v>
      </c>
      <c r="M882">
        <v>3.2810000000000001</v>
      </c>
      <c r="N882">
        <v>0.66700000000000004</v>
      </c>
      <c r="O882">
        <v>0</v>
      </c>
    </row>
    <row r="883" spans="1:17">
      <c r="A883" s="6"/>
      <c r="B883" s="7"/>
      <c r="C883" s="8" t="s">
        <v>98</v>
      </c>
      <c r="D883" s="9" t="s">
        <v>39</v>
      </c>
      <c r="E883" s="74" t="s">
        <v>99</v>
      </c>
      <c r="F883" s="75" t="s">
        <v>100</v>
      </c>
      <c r="G883" s="11" t="s">
        <v>101</v>
      </c>
      <c r="H883" s="12"/>
      <c r="J883">
        <f>1/J882</f>
        <v>22.222222222222221</v>
      </c>
      <c r="K883">
        <v>22.22222</v>
      </c>
      <c r="L883">
        <v>4</v>
      </c>
      <c r="M883">
        <v>3.2810000000000001</v>
      </c>
      <c r="N883">
        <v>0.378</v>
      </c>
      <c r="O883">
        <f>+K883*L883*M883*N883/100</f>
        <v>1.1024158897584002</v>
      </c>
    </row>
    <row r="884" spans="1:17">
      <c r="A884" s="19"/>
      <c r="B884" s="56" t="s">
        <v>1678</v>
      </c>
      <c r="C884" s="62">
        <v>1.1000000000000001</v>
      </c>
      <c r="D884" s="57" t="s">
        <v>1510</v>
      </c>
      <c r="E884" s="61">
        <f>'Analisis Auxiliares'!$G$11</f>
        <v>5880</v>
      </c>
      <c r="F884" s="61"/>
      <c r="G884" s="17">
        <f>+C884*E884+C884*F884</f>
        <v>6468.0000000000009</v>
      </c>
      <c r="H884" s="12"/>
      <c r="J884">
        <f>+K883/0.25</f>
        <v>88.88888</v>
      </c>
      <c r="K884">
        <v>89</v>
      </c>
      <c r="L884">
        <f>0.15*2+0.3*2</f>
        <v>0.89999999999999991</v>
      </c>
      <c r="M884">
        <v>3.2810000000000001</v>
      </c>
      <c r="N884">
        <v>0.378</v>
      </c>
      <c r="O884">
        <f>+K884*L884*M884*N884/100</f>
        <v>0.99341461799999986</v>
      </c>
      <c r="P884">
        <f>+O884*1.05</f>
        <v>1.0430853488999998</v>
      </c>
      <c r="Q884">
        <f>+P884/J882</f>
        <v>23.179674419999998</v>
      </c>
    </row>
    <row r="885" spans="1:17">
      <c r="A885" s="19"/>
      <c r="B885" s="56" t="s">
        <v>1644</v>
      </c>
      <c r="C885" s="62">
        <v>1</v>
      </c>
      <c r="D885" s="57" t="s">
        <v>1510</v>
      </c>
      <c r="E885" s="61">
        <v>500</v>
      </c>
      <c r="F885" s="61"/>
      <c r="G885" s="17">
        <f>+C885*E885+C885*F885</f>
        <v>500</v>
      </c>
      <c r="H885" s="18"/>
      <c r="O885">
        <f>SUM(O882:O884)</f>
        <v>2.0958305077584001</v>
      </c>
      <c r="P885">
        <f>+O885*1.05</f>
        <v>2.20062203314632</v>
      </c>
    </row>
    <row r="886" spans="1:17" ht="15.75" thickBot="1">
      <c r="A886" s="21"/>
      <c r="B886" s="22"/>
      <c r="C886" s="23"/>
      <c r="D886" s="24" t="s">
        <v>111</v>
      </c>
      <c r="E886" s="78"/>
      <c r="F886" s="79"/>
      <c r="G886" s="26">
        <f>SUM(G884:G885)</f>
        <v>6968.0000000000009</v>
      </c>
      <c r="H886" s="27" t="s">
        <v>106</v>
      </c>
      <c r="O886" t="e">
        <f>SUM(#REF!)</f>
        <v>#REF!</v>
      </c>
      <c r="P886" t="e">
        <f>+O886*1.05</f>
        <v>#REF!</v>
      </c>
    </row>
    <row r="887" spans="1:17" ht="15.75" thickTop="1">
      <c r="B887" s="55"/>
    </row>
    <row r="888" spans="1:17">
      <c r="A888" s="64"/>
      <c r="B888" s="370" t="e">
        <f>#REF!</f>
        <v>#REF!</v>
      </c>
      <c r="C888" s="370"/>
      <c r="D888" s="370"/>
      <c r="E888" s="370"/>
      <c r="F888" s="370"/>
      <c r="G888" s="370"/>
      <c r="H888" s="370"/>
      <c r="J888">
        <v>4.4999999999999998E-2</v>
      </c>
      <c r="K888">
        <v>2.2222</v>
      </c>
      <c r="L888">
        <v>0</v>
      </c>
      <c r="M888">
        <v>3.2810000000000001</v>
      </c>
      <c r="N888">
        <v>0.66700000000000004</v>
      </c>
      <c r="O888">
        <v>0</v>
      </c>
    </row>
    <row r="889" spans="1:17">
      <c r="A889" s="6"/>
      <c r="B889" s="7"/>
      <c r="C889" s="8" t="s">
        <v>98</v>
      </c>
      <c r="D889" s="9" t="s">
        <v>39</v>
      </c>
      <c r="E889" s="74" t="s">
        <v>99</v>
      </c>
      <c r="F889" s="75" t="s">
        <v>100</v>
      </c>
      <c r="G889" s="11" t="s">
        <v>101</v>
      </c>
      <c r="H889" s="12"/>
      <c r="J889">
        <f>1/J888</f>
        <v>22.222222222222221</v>
      </c>
      <c r="K889">
        <v>22.22222</v>
      </c>
      <c r="L889">
        <v>4</v>
      </c>
      <c r="M889">
        <v>3.2810000000000001</v>
      </c>
      <c r="N889">
        <v>0.378</v>
      </c>
      <c r="O889">
        <f>+K889*L889*M889*N889/100</f>
        <v>1.1024158897584002</v>
      </c>
    </row>
    <row r="890" spans="1:17">
      <c r="A890" s="19"/>
      <c r="B890" s="56" t="s">
        <v>1511</v>
      </c>
      <c r="C890" s="62">
        <v>1.1000000000000001</v>
      </c>
      <c r="D890" s="57" t="s">
        <v>1510</v>
      </c>
      <c r="E890" s="61">
        <f>Materiales!$D$105</f>
        <v>5677.9661016949149</v>
      </c>
      <c r="F890" s="61">
        <f>+E890*0.18</f>
        <v>1022.0338983050847</v>
      </c>
      <c r="G890" s="17">
        <f>+C890*E890+C890*F890</f>
        <v>7370</v>
      </c>
      <c r="H890" s="12"/>
      <c r="J890">
        <f>+K889/0.25</f>
        <v>88.88888</v>
      </c>
      <c r="K890">
        <v>89</v>
      </c>
      <c r="L890">
        <f>0.15*2+0.3*2</f>
        <v>0.89999999999999991</v>
      </c>
      <c r="M890">
        <v>3.2810000000000001</v>
      </c>
      <c r="N890">
        <v>0.378</v>
      </c>
      <c r="O890">
        <f>+K890*L890*M890*N890/100</f>
        <v>0.99341461799999986</v>
      </c>
      <c r="P890">
        <f>+O890*1.05</f>
        <v>1.0430853488999998</v>
      </c>
      <c r="Q890">
        <f>+P890/J888</f>
        <v>23.179674419999998</v>
      </c>
    </row>
    <row r="891" spans="1:17">
      <c r="A891" s="19"/>
      <c r="B891" s="56" t="s">
        <v>1512</v>
      </c>
      <c r="C891" s="62">
        <v>1.6</v>
      </c>
      <c r="D891" s="57" t="s">
        <v>1513</v>
      </c>
      <c r="E891" s="61">
        <f>Materiales!$D$38</f>
        <v>3305.0847457627119</v>
      </c>
      <c r="F891" s="61">
        <f t="shared" ref="F891:F892" si="96">+E891*0.18</f>
        <v>594.91525423728808</v>
      </c>
      <c r="G891" s="17">
        <f>+C891*E891+C891*F891</f>
        <v>6240.0000000000009</v>
      </c>
      <c r="H891" s="18"/>
      <c r="O891">
        <f>SUM(O888:O890)</f>
        <v>2.0958305077584001</v>
      </c>
      <c r="P891">
        <f>+O891*1.05</f>
        <v>2.20062203314632</v>
      </c>
    </row>
    <row r="892" spans="1:17">
      <c r="A892" s="19"/>
      <c r="B892" s="56" t="s">
        <v>1514</v>
      </c>
      <c r="C892" s="62">
        <f>+C891*2</f>
        <v>3.2</v>
      </c>
      <c r="D892" s="57" t="s">
        <v>1515</v>
      </c>
      <c r="E892" s="61">
        <f>Materiales!$D$50</f>
        <v>93.220338983050851</v>
      </c>
      <c r="F892" s="61">
        <f t="shared" si="96"/>
        <v>16.779661016949152</v>
      </c>
      <c r="G892" s="17">
        <f>+C892*E892+C892*F892</f>
        <v>352</v>
      </c>
      <c r="H892" s="12"/>
      <c r="J892">
        <f>0.12*0.4</f>
        <v>4.8000000000000001E-2</v>
      </c>
    </row>
    <row r="893" spans="1:17">
      <c r="A893" s="19"/>
      <c r="B893" s="56" t="s">
        <v>1516</v>
      </c>
      <c r="C893" s="62">
        <f>+C891</f>
        <v>1.6</v>
      </c>
      <c r="D893" s="57" t="s">
        <v>1513</v>
      </c>
      <c r="E893" s="61">
        <v>323.23</v>
      </c>
      <c r="F893" s="61"/>
      <c r="G893" s="17">
        <f>+C893*E893+C893*F893</f>
        <v>517.16800000000001</v>
      </c>
      <c r="H893" s="12"/>
      <c r="K893">
        <f>1/J892</f>
        <v>20.833333333333332</v>
      </c>
      <c r="L893">
        <v>5</v>
      </c>
      <c r="M893">
        <v>3.2810000000000001</v>
      </c>
      <c r="N893">
        <v>0.66669999999999996</v>
      </c>
      <c r="O893">
        <f>+K893*L893*M893*N893/100</f>
        <v>2.2785861458333332</v>
      </c>
    </row>
    <row r="894" spans="1:17">
      <c r="A894" s="19"/>
      <c r="B894" s="56" t="s">
        <v>1517</v>
      </c>
      <c r="C894" s="62">
        <v>0</v>
      </c>
      <c r="D894" s="57" t="s">
        <v>21</v>
      </c>
      <c r="E894" s="61">
        <v>325</v>
      </c>
      <c r="F894" s="61"/>
      <c r="G894" s="17">
        <f>+C894*E894+C894*F894</f>
        <v>0</v>
      </c>
      <c r="H894" s="12"/>
      <c r="J894">
        <f>+K893/0.2</f>
        <v>104.16666666666666</v>
      </c>
      <c r="K894">
        <v>104</v>
      </c>
      <c r="L894">
        <f>0.4*2+0.12*2</f>
        <v>1.04</v>
      </c>
      <c r="M894">
        <v>3.2810000000000001</v>
      </c>
      <c r="N894">
        <v>0.378</v>
      </c>
      <c r="O894">
        <f>+K894*L894*M894*N894/100</f>
        <v>1.3414197887999999</v>
      </c>
    </row>
    <row r="895" spans="1:17" ht="15.75" thickBot="1">
      <c r="A895" s="21"/>
      <c r="B895" s="22"/>
      <c r="C895" s="23"/>
      <c r="D895" s="24" t="s">
        <v>111</v>
      </c>
      <c r="E895" s="78"/>
      <c r="F895" s="79"/>
      <c r="G895" s="26">
        <f>SUM(G890:G894)</f>
        <v>14479.168</v>
      </c>
      <c r="H895" s="27" t="s">
        <v>106</v>
      </c>
      <c r="O895">
        <f>SUM(O893:O894)</f>
        <v>3.6200059346333333</v>
      </c>
      <c r="P895">
        <f>+O895*1.05</f>
        <v>3.8010062313650002</v>
      </c>
    </row>
    <row r="896" spans="1:17" ht="15.75" thickTop="1">
      <c r="B896" s="55"/>
    </row>
    <row r="897" spans="1:17">
      <c r="A897" s="64"/>
      <c r="B897" s="370" t="e">
        <f>#REF!</f>
        <v>#REF!</v>
      </c>
      <c r="C897" s="370"/>
      <c r="D897" s="370"/>
      <c r="E897" s="370"/>
      <c r="F897" s="370"/>
      <c r="G897" s="370"/>
      <c r="H897" s="370"/>
      <c r="J897">
        <v>4.4999999999999998E-2</v>
      </c>
      <c r="K897">
        <v>2.2222</v>
      </c>
      <c r="L897">
        <v>0</v>
      </c>
      <c r="M897">
        <v>3.2810000000000001</v>
      </c>
      <c r="N897">
        <v>0.66700000000000004</v>
      </c>
      <c r="O897">
        <v>0</v>
      </c>
    </row>
    <row r="898" spans="1:17">
      <c r="A898" s="6"/>
      <c r="B898" s="7"/>
      <c r="C898" s="8" t="s">
        <v>98</v>
      </c>
      <c r="D898" s="9" t="s">
        <v>39</v>
      </c>
      <c r="E898" s="74" t="s">
        <v>99</v>
      </c>
      <c r="F898" s="75" t="s">
        <v>100</v>
      </c>
      <c r="G898" s="11" t="s">
        <v>101</v>
      </c>
      <c r="H898" s="12"/>
      <c r="J898">
        <f>1/J897</f>
        <v>22.222222222222221</v>
      </c>
      <c r="K898">
        <v>22.22222</v>
      </c>
      <c r="L898">
        <v>4</v>
      </c>
      <c r="M898">
        <v>3.2810000000000001</v>
      </c>
      <c r="N898">
        <v>0.378</v>
      </c>
      <c r="O898">
        <f>+K898*L898*M898*N898/100</f>
        <v>1.1024158897584002</v>
      </c>
    </row>
    <row r="899" spans="1:17">
      <c r="A899" s="19"/>
      <c r="B899" s="56" t="s">
        <v>1511</v>
      </c>
      <c r="C899" s="62">
        <v>1.1000000000000001</v>
      </c>
      <c r="D899" s="57" t="s">
        <v>1510</v>
      </c>
      <c r="E899" s="61">
        <f>Materiales!$D$105</f>
        <v>5677.9661016949149</v>
      </c>
      <c r="F899" s="61">
        <f>+E899*0.18</f>
        <v>1022.0338983050847</v>
      </c>
      <c r="G899" s="17">
        <f>+C899*E899+C899*F899</f>
        <v>7370</v>
      </c>
      <c r="H899" s="12"/>
      <c r="J899">
        <f>+K898/0.25</f>
        <v>88.88888</v>
      </c>
      <c r="K899">
        <v>89</v>
      </c>
      <c r="L899">
        <f>0.15*2+0.3*2</f>
        <v>0.89999999999999991</v>
      </c>
      <c r="M899">
        <v>3.2810000000000001</v>
      </c>
      <c r="N899">
        <v>0.378</v>
      </c>
      <c r="O899">
        <f>+K899*L899*M899*N899/100</f>
        <v>0.99341461799999986</v>
      </c>
      <c r="P899">
        <f>+O899*1.05</f>
        <v>1.0430853488999998</v>
      </c>
      <c r="Q899">
        <f>+P899/J897</f>
        <v>23.179674419999998</v>
      </c>
    </row>
    <row r="900" spans="1:17">
      <c r="A900" s="19"/>
      <c r="B900" s="56" t="s">
        <v>1512</v>
      </c>
      <c r="C900" s="62">
        <v>1.6</v>
      </c>
      <c r="D900" s="57" t="s">
        <v>1513</v>
      </c>
      <c r="E900" s="61">
        <f>Materiales!$D$38</f>
        <v>3305.0847457627119</v>
      </c>
      <c r="F900" s="61">
        <f t="shared" ref="F900:F901" si="97">+E900*0.18</f>
        <v>594.91525423728808</v>
      </c>
      <c r="G900" s="17">
        <f>+C900*E900+C900*F900</f>
        <v>6240.0000000000009</v>
      </c>
      <c r="H900" s="18"/>
      <c r="O900">
        <f>SUM(O897:O899)</f>
        <v>2.0958305077584001</v>
      </c>
      <c r="P900">
        <f>+O900*1.05</f>
        <v>2.20062203314632</v>
      </c>
    </row>
    <row r="901" spans="1:17">
      <c r="A901" s="19"/>
      <c r="B901" s="56" t="s">
        <v>1514</v>
      </c>
      <c r="C901" s="62">
        <f>+C900*2</f>
        <v>3.2</v>
      </c>
      <c r="D901" s="57" t="s">
        <v>1515</v>
      </c>
      <c r="E901" s="61">
        <f>Materiales!$D$50</f>
        <v>93.220338983050851</v>
      </c>
      <c r="F901" s="61">
        <f t="shared" si="97"/>
        <v>16.779661016949152</v>
      </c>
      <c r="G901" s="17">
        <f>+C901*E901+C901*F901</f>
        <v>352</v>
      </c>
      <c r="H901" s="12"/>
      <c r="J901">
        <f>0.12*0.4</f>
        <v>4.8000000000000001E-2</v>
      </c>
    </row>
    <row r="902" spans="1:17">
      <c r="A902" s="19"/>
      <c r="B902" s="56" t="s">
        <v>1516</v>
      </c>
      <c r="C902" s="62">
        <f>+C900</f>
        <v>1.6</v>
      </c>
      <c r="D902" s="57" t="s">
        <v>1513</v>
      </c>
      <c r="E902" s="61">
        <v>323.23</v>
      </c>
      <c r="F902" s="61"/>
      <c r="G902" s="17">
        <f>+C902*E902+C902*F902</f>
        <v>517.16800000000001</v>
      </c>
      <c r="H902" s="12"/>
      <c r="K902">
        <f>1/J901</f>
        <v>20.833333333333332</v>
      </c>
      <c r="L902">
        <v>5</v>
      </c>
      <c r="M902">
        <v>3.2810000000000001</v>
      </c>
      <c r="N902">
        <v>0.66669999999999996</v>
      </c>
      <c r="O902">
        <f>+K902*L902*M902*N902/100</f>
        <v>2.2785861458333332</v>
      </c>
    </row>
    <row r="903" spans="1:17">
      <c r="A903" s="19"/>
      <c r="B903" s="56" t="s">
        <v>1517</v>
      </c>
      <c r="C903" s="62">
        <f>1/0.15</f>
        <v>6.666666666666667</v>
      </c>
      <c r="D903" s="57" t="s">
        <v>21</v>
      </c>
      <c r="E903" s="61">
        <v>325</v>
      </c>
      <c r="F903" s="61"/>
      <c r="G903" s="17">
        <f>+C903*E903+C903*F903</f>
        <v>2166.666666666667</v>
      </c>
      <c r="H903" s="12"/>
      <c r="J903">
        <f>+K902/0.2</f>
        <v>104.16666666666666</v>
      </c>
      <c r="K903">
        <v>104</v>
      </c>
      <c r="L903">
        <f>0.4*2+0.12*2</f>
        <v>1.04</v>
      </c>
      <c r="M903">
        <v>3.2810000000000001</v>
      </c>
      <c r="N903">
        <v>0.378</v>
      </c>
      <c r="O903">
        <f>+K903*L903*M903*N903/100</f>
        <v>1.3414197887999999</v>
      </c>
    </row>
    <row r="904" spans="1:17" ht="15.75" thickBot="1">
      <c r="A904" s="21"/>
      <c r="B904" s="22"/>
      <c r="C904" s="23"/>
      <c r="D904" s="24" t="s">
        <v>111</v>
      </c>
      <c r="E904" s="78"/>
      <c r="F904" s="79"/>
      <c r="G904" s="26">
        <f>SUM(G899:G903)</f>
        <v>16645.834666666666</v>
      </c>
      <c r="H904" s="27" t="s">
        <v>106</v>
      </c>
      <c r="O904">
        <f>SUM(O902:O903)</f>
        <v>3.6200059346333333</v>
      </c>
      <c r="P904">
        <f>+O904*1.05</f>
        <v>3.8010062313650002</v>
      </c>
    </row>
    <row r="905" spans="1:17" ht="15.75" thickTop="1">
      <c r="B905" s="55"/>
    </row>
    <row r="906" spans="1:17">
      <c r="A906" s="64"/>
      <c r="B906" s="370" t="s">
        <v>51</v>
      </c>
      <c r="C906" s="370"/>
      <c r="D906" s="370"/>
      <c r="E906" s="370"/>
      <c r="F906" s="370"/>
      <c r="G906" s="370"/>
      <c r="H906" s="370"/>
      <c r="J906">
        <v>4.4999999999999998E-2</v>
      </c>
      <c r="K906">
        <v>2.2222</v>
      </c>
      <c r="L906">
        <v>0</v>
      </c>
      <c r="M906">
        <v>3.2810000000000001</v>
      </c>
      <c r="N906">
        <v>0.66700000000000004</v>
      </c>
      <c r="O906">
        <v>0</v>
      </c>
    </row>
    <row r="907" spans="1:17">
      <c r="A907" s="6"/>
      <c r="B907" s="7"/>
      <c r="C907" s="8" t="s">
        <v>98</v>
      </c>
      <c r="D907" s="9" t="s">
        <v>39</v>
      </c>
      <c r="E907" s="74" t="s">
        <v>99</v>
      </c>
      <c r="F907" s="75" t="s">
        <v>100</v>
      </c>
      <c r="G907" s="11" t="s">
        <v>101</v>
      </c>
      <c r="H907" s="12"/>
      <c r="J907">
        <f>1/J906</f>
        <v>22.222222222222221</v>
      </c>
      <c r="K907">
        <v>22.22222</v>
      </c>
      <c r="L907">
        <v>4</v>
      </c>
      <c r="M907">
        <v>3.2810000000000001</v>
      </c>
      <c r="N907">
        <v>0.378</v>
      </c>
      <c r="O907">
        <f>+K907*L907*M907*N907/100</f>
        <v>1.1024158897584002</v>
      </c>
    </row>
    <row r="908" spans="1:17">
      <c r="A908" s="19"/>
      <c r="B908" s="56" t="s">
        <v>1521</v>
      </c>
      <c r="C908" s="62">
        <v>13</v>
      </c>
      <c r="D908" s="57" t="s">
        <v>3</v>
      </c>
      <c r="E908" s="61">
        <v>49.15</v>
      </c>
      <c r="F908" s="61">
        <f>+E908*0.18</f>
        <v>8.8469999999999995</v>
      </c>
      <c r="G908" s="17">
        <f t="shared" ref="G908:G914" si="98">+C908*E908+C908*F908</f>
        <v>753.9609999999999</v>
      </c>
      <c r="H908" s="12"/>
      <c r="J908">
        <f>+K907/0.25</f>
        <v>88.88888</v>
      </c>
      <c r="K908">
        <v>89</v>
      </c>
      <c r="L908">
        <f>0.15*2+0.3*2</f>
        <v>0.89999999999999991</v>
      </c>
      <c r="M908">
        <v>3.2810000000000001</v>
      </c>
      <c r="N908">
        <v>0.378</v>
      </c>
      <c r="O908">
        <f>+K908*L908*M908*N908/100</f>
        <v>0.99341461799999986</v>
      </c>
      <c r="P908">
        <f>+O908*1.05</f>
        <v>1.0430853488999998</v>
      </c>
      <c r="Q908">
        <f>+P908/J906</f>
        <v>23.179674419999998</v>
      </c>
    </row>
    <row r="909" spans="1:17">
      <c r="A909" s="19"/>
      <c r="B909" s="56" t="s">
        <v>1522</v>
      </c>
      <c r="C909" s="62">
        <v>0.10939500000000001</v>
      </c>
      <c r="D909" s="57" t="s">
        <v>20</v>
      </c>
      <c r="E909" s="61">
        <f>'Analisis Auxiliares'!$G$11</f>
        <v>5880</v>
      </c>
      <c r="F909" s="61"/>
      <c r="G909" s="17">
        <f t="shared" si="98"/>
        <v>643.24260000000004</v>
      </c>
      <c r="H909" s="18"/>
      <c r="O909">
        <f>SUM(O906:O908)</f>
        <v>2.0958305077584001</v>
      </c>
      <c r="P909">
        <f>+O909*1.05</f>
        <v>2.20062203314632</v>
      </c>
    </row>
    <row r="910" spans="1:17">
      <c r="A910" s="19"/>
      <c r="B910" s="56" t="s">
        <v>1523</v>
      </c>
      <c r="C910" s="62">
        <v>4.1599999999999998E-2</v>
      </c>
      <c r="D910" s="57" t="s">
        <v>20</v>
      </c>
      <c r="E910" s="61">
        <f>'Analisis Auxiliares'!$G$44</f>
        <v>6785.5</v>
      </c>
      <c r="F910" s="61"/>
      <c r="G910" s="17">
        <f t="shared" si="98"/>
        <v>282.27679999999998</v>
      </c>
      <c r="H910" s="12"/>
      <c r="J910">
        <f>0.12*0.4</f>
        <v>4.8000000000000001E-2</v>
      </c>
    </row>
    <row r="911" spans="1:17">
      <c r="A911" s="19"/>
      <c r="B911" s="56" t="s">
        <v>1524</v>
      </c>
      <c r="C911" s="62">
        <v>3.9E-2</v>
      </c>
      <c r="D911" s="57" t="s">
        <v>164</v>
      </c>
      <c r="E911" s="61">
        <v>2796.61</v>
      </c>
      <c r="F911" s="61">
        <f t="shared" ref="F911:F913" si="99">+E911*0.18</f>
        <v>503.38979999999998</v>
      </c>
      <c r="G911" s="17">
        <f t="shared" si="98"/>
        <v>128.6999922</v>
      </c>
      <c r="H911" s="12"/>
      <c r="K911">
        <f>1/J910</f>
        <v>20.833333333333332</v>
      </c>
      <c r="L911">
        <v>5</v>
      </c>
      <c r="M911">
        <v>3.2810000000000001</v>
      </c>
      <c r="N911">
        <v>0.66669999999999996</v>
      </c>
      <c r="O911">
        <f>+K911*L911*M911*N911/100</f>
        <v>2.2785861458333332</v>
      </c>
    </row>
    <row r="912" spans="1:17">
      <c r="A912" s="19"/>
      <c r="B912" s="56" t="s">
        <v>1525</v>
      </c>
      <c r="C912" s="62">
        <v>7.8E-2</v>
      </c>
      <c r="D912" s="57" t="s">
        <v>178</v>
      </c>
      <c r="E912" s="61">
        <f>Materiales!$D$38</f>
        <v>3305.0847457627119</v>
      </c>
      <c r="F912" s="61">
        <f t="shared" si="99"/>
        <v>594.91525423728808</v>
      </c>
      <c r="G912" s="17">
        <f t="shared" si="98"/>
        <v>304.20000000000005</v>
      </c>
      <c r="H912" s="12"/>
      <c r="J912">
        <f>+K911/0.2</f>
        <v>104.16666666666666</v>
      </c>
      <c r="K912">
        <v>104</v>
      </c>
      <c r="L912">
        <f>0.4*2+0.12*2</f>
        <v>1.04</v>
      </c>
      <c r="M912">
        <v>3.2810000000000001</v>
      </c>
      <c r="N912">
        <v>0.378</v>
      </c>
      <c r="O912">
        <f>+K912*L912*M912*N912/100</f>
        <v>1.3414197887999999</v>
      </c>
    </row>
    <row r="913" spans="1:17">
      <c r="A913" s="19"/>
      <c r="B913" s="56" t="s">
        <v>1526</v>
      </c>
      <c r="C913" s="62">
        <v>1</v>
      </c>
      <c r="D913" s="57" t="s">
        <v>9</v>
      </c>
      <c r="E913" s="61">
        <f>Materiales!$D$50</f>
        <v>93.220338983050851</v>
      </c>
      <c r="F913" s="61">
        <f t="shared" si="99"/>
        <v>16.779661016949152</v>
      </c>
      <c r="G913" s="17">
        <f t="shared" si="98"/>
        <v>110</v>
      </c>
      <c r="H913" s="12"/>
    </row>
    <row r="914" spans="1:17">
      <c r="A914" s="19"/>
      <c r="B914" s="56" t="s">
        <v>1527</v>
      </c>
      <c r="C914" s="62">
        <v>13</v>
      </c>
      <c r="D914" s="57" t="s">
        <v>3</v>
      </c>
      <c r="E914" s="61">
        <v>21.68</v>
      </c>
      <c r="F914" s="61"/>
      <c r="G914" s="17">
        <f t="shared" si="98"/>
        <v>281.83999999999997</v>
      </c>
      <c r="H914" s="12"/>
    </row>
    <row r="915" spans="1:17" ht="15.75" thickBot="1">
      <c r="A915" s="21"/>
      <c r="B915" s="22"/>
      <c r="C915" s="23"/>
      <c r="D915" s="24" t="s">
        <v>111</v>
      </c>
      <c r="E915" s="78"/>
      <c r="F915" s="79"/>
      <c r="G915" s="26">
        <f>SUM(G908:G914)</f>
        <v>2504.2203921999999</v>
      </c>
      <c r="H915" s="27" t="s">
        <v>21</v>
      </c>
      <c r="O915">
        <f>SUM(O911:O912)</f>
        <v>3.6200059346333333</v>
      </c>
      <c r="P915">
        <f>+O915*1.05</f>
        <v>3.8010062313650002</v>
      </c>
    </row>
    <row r="916" spans="1:17" ht="15.75" thickTop="1">
      <c r="B916" s="55"/>
    </row>
    <row r="917" spans="1:17">
      <c r="A917" s="64"/>
      <c r="B917" s="370" t="s">
        <v>52</v>
      </c>
      <c r="C917" s="370"/>
      <c r="D917" s="370"/>
      <c r="E917" s="370"/>
      <c r="F917" s="370"/>
      <c r="G917" s="370"/>
      <c r="H917" s="370"/>
      <c r="J917">
        <v>1.008</v>
      </c>
    </row>
    <row r="918" spans="1:17">
      <c r="A918" s="6"/>
      <c r="B918" s="7"/>
      <c r="C918" s="8" t="s">
        <v>98</v>
      </c>
      <c r="D918" s="9" t="s">
        <v>39</v>
      </c>
      <c r="E918" s="74" t="s">
        <v>99</v>
      </c>
      <c r="F918" s="75" t="s">
        <v>100</v>
      </c>
      <c r="G918" s="11" t="s">
        <v>101</v>
      </c>
      <c r="H918" s="12"/>
      <c r="J918">
        <f>1.6/0.15</f>
        <v>10.666666666666668</v>
      </c>
      <c r="K918">
        <v>11</v>
      </c>
      <c r="L918">
        <v>1.4</v>
      </c>
      <c r="M918">
        <v>3.2810000000000001</v>
      </c>
      <c r="N918">
        <v>0.66700000000000004</v>
      </c>
      <c r="O918">
        <f>+K918*L918*M918*N918/100</f>
        <v>0.337017758</v>
      </c>
    </row>
    <row r="919" spans="1:17">
      <c r="A919" s="6"/>
      <c r="B919" s="7"/>
      <c r="C919" s="8"/>
      <c r="D919" s="9"/>
      <c r="E919" s="74"/>
      <c r="F919" s="75"/>
      <c r="G919" s="11"/>
      <c r="H919" s="12"/>
      <c r="J919">
        <f>1.4/0.15</f>
        <v>9.3333333333333339</v>
      </c>
      <c r="K919">
        <v>9</v>
      </c>
      <c r="L919">
        <v>1.6</v>
      </c>
      <c r="M919">
        <v>3.2810000000000001</v>
      </c>
      <c r="N919">
        <v>0.66700000000000004</v>
      </c>
      <c r="O919">
        <f>+K919*L919*M919*N919/100</f>
        <v>0.31513348800000002</v>
      </c>
    </row>
    <row r="920" spans="1:17">
      <c r="A920" s="19"/>
      <c r="B920" s="56" t="s">
        <v>1528</v>
      </c>
      <c r="C920" s="62">
        <v>2.1899999999999999E-2</v>
      </c>
      <c r="D920" s="57" t="s">
        <v>20</v>
      </c>
      <c r="E920" s="61">
        <f>'Analisis Auxiliares'!$G$55</f>
        <v>8214.5499999999993</v>
      </c>
      <c r="F920" s="61"/>
      <c r="G920" s="17">
        <f>+C920*E920+C920*F920</f>
        <v>179.89864499999999</v>
      </c>
      <c r="H920" s="12"/>
      <c r="O920">
        <f>SUM(O918:O919)</f>
        <v>0.65215124600000007</v>
      </c>
      <c r="P920">
        <f>+O920*1.05</f>
        <v>0.68475880830000013</v>
      </c>
      <c r="Q920">
        <f>+P920/J917</f>
        <v>0.67932421458333347</v>
      </c>
    </row>
    <row r="921" spans="1:17">
      <c r="A921" s="19"/>
      <c r="B921" s="56" t="s">
        <v>1529</v>
      </c>
      <c r="C921" s="62">
        <v>0.16669999999999999</v>
      </c>
      <c r="D921" s="57" t="s">
        <v>190</v>
      </c>
      <c r="E921" s="61">
        <f>Materiales!$D$64</f>
        <v>101.69491525423729</v>
      </c>
      <c r="F921" s="61">
        <f>+E921*0.18</f>
        <v>18.305084745762709</v>
      </c>
      <c r="G921" s="17">
        <f>+C921*E921+C921*F921</f>
        <v>20.003999999999998</v>
      </c>
      <c r="H921" s="18"/>
    </row>
    <row r="922" spans="1:17">
      <c r="A922" s="19"/>
      <c r="B922" s="56" t="s">
        <v>1531</v>
      </c>
      <c r="C922" s="62">
        <v>1</v>
      </c>
      <c r="D922" s="57" t="s">
        <v>9</v>
      </c>
      <c r="E922" s="61">
        <v>35</v>
      </c>
      <c r="F922" s="61"/>
      <c r="G922" s="17">
        <f>+C922*E922+C922*F922</f>
        <v>35</v>
      </c>
      <c r="H922" s="18"/>
    </row>
    <row r="923" spans="1:17">
      <c r="A923" s="19"/>
      <c r="B923" s="56" t="s">
        <v>1532</v>
      </c>
      <c r="C923" s="62">
        <v>1</v>
      </c>
      <c r="D923" s="57" t="s">
        <v>9</v>
      </c>
      <c r="E923" s="61">
        <v>199.95</v>
      </c>
      <c r="F923" s="61">
        <v>0</v>
      </c>
      <c r="G923" s="17">
        <f>+C923*E923+C923*F923</f>
        <v>199.95</v>
      </c>
      <c r="H923" s="12"/>
    </row>
    <row r="924" spans="1:17" ht="15.75" thickBot="1">
      <c r="A924" s="21"/>
      <c r="B924" s="22"/>
      <c r="C924" s="23"/>
      <c r="D924" s="24" t="s">
        <v>111</v>
      </c>
      <c r="E924" s="78"/>
      <c r="F924" s="79"/>
      <c r="G924" s="26">
        <f>SUM(G920:G923)</f>
        <v>434.85264499999994</v>
      </c>
      <c r="H924" s="27" t="s">
        <v>21</v>
      </c>
    </row>
    <row r="925" spans="1:17" ht="15.75" thickTop="1">
      <c r="B925" s="55"/>
    </row>
    <row r="926" spans="1:17">
      <c r="A926" s="4"/>
      <c r="B926" s="370" t="s">
        <v>53</v>
      </c>
      <c r="C926" s="370"/>
      <c r="D926" s="370"/>
      <c r="E926" s="370"/>
      <c r="F926" s="370"/>
      <c r="G926" s="370"/>
      <c r="H926" s="370"/>
    </row>
    <row r="927" spans="1:17">
      <c r="A927" s="6"/>
      <c r="B927" s="7"/>
      <c r="C927" s="8" t="s">
        <v>98</v>
      </c>
      <c r="D927" s="9" t="s">
        <v>39</v>
      </c>
      <c r="E927" s="74" t="s">
        <v>99</v>
      </c>
      <c r="F927" s="75" t="s">
        <v>100</v>
      </c>
      <c r="G927" s="11" t="s">
        <v>101</v>
      </c>
      <c r="H927" s="12"/>
    </row>
    <row r="928" spans="1:17">
      <c r="A928" s="19"/>
      <c r="B928" s="56" t="s">
        <v>1562</v>
      </c>
      <c r="C928" s="62">
        <f>0.05*1.1</f>
        <v>5.5000000000000007E-2</v>
      </c>
      <c r="D928" s="57" t="s">
        <v>20</v>
      </c>
      <c r="E928" s="61">
        <f>'Analisis Auxiliares'!$G$44</f>
        <v>6785.5</v>
      </c>
      <c r="F928" s="61"/>
      <c r="G928" s="17">
        <f>+C928*E928+C928*F928</f>
        <v>373.20250000000004</v>
      </c>
      <c r="H928" s="12"/>
    </row>
    <row r="929" spans="1:17">
      <c r="A929" s="19"/>
      <c r="B929" s="56" t="s">
        <v>1563</v>
      </c>
      <c r="C929" s="62">
        <v>0.33329999999999999</v>
      </c>
      <c r="D929" s="57" t="s">
        <v>190</v>
      </c>
      <c r="E929" s="61">
        <v>101.69</v>
      </c>
      <c r="F929" s="61">
        <v>18.3</v>
      </c>
      <c r="G929" s="17">
        <f t="shared" ref="G929:G930" si="100">+C929*E929+C929*F929</f>
        <v>39.992666999999997</v>
      </c>
      <c r="H929" s="12"/>
    </row>
    <row r="930" spans="1:17">
      <c r="A930" s="19"/>
      <c r="B930" s="56" t="s">
        <v>1564</v>
      </c>
      <c r="C930" s="62">
        <v>1</v>
      </c>
      <c r="D930" s="57" t="s">
        <v>9</v>
      </c>
      <c r="E930" s="61">
        <v>136.5</v>
      </c>
      <c r="F930" s="61"/>
      <c r="G930" s="17">
        <f t="shared" si="100"/>
        <v>136.5</v>
      </c>
      <c r="H930" s="12"/>
    </row>
    <row r="931" spans="1:17" ht="15.75" thickBot="1">
      <c r="A931" s="21"/>
      <c r="B931" s="22"/>
      <c r="C931" s="23"/>
      <c r="D931" s="24" t="s">
        <v>111</v>
      </c>
      <c r="E931" s="78"/>
      <c r="F931" s="79"/>
      <c r="G931" s="26">
        <f>SUM(G928:G930)</f>
        <v>549.69516700000008</v>
      </c>
      <c r="H931" s="27" t="s">
        <v>21</v>
      </c>
    </row>
    <row r="932" spans="1:17" ht="15.75" thickTop="1">
      <c r="B932" s="55"/>
    </row>
    <row r="933" spans="1:17">
      <c r="A933" s="64"/>
      <c r="B933" s="370" t="s">
        <v>54</v>
      </c>
      <c r="C933" s="370"/>
      <c r="D933" s="370"/>
      <c r="E933" s="370"/>
      <c r="F933" s="370"/>
      <c r="G933" s="370"/>
      <c r="H933" s="370"/>
      <c r="J933">
        <v>1.008</v>
      </c>
    </row>
    <row r="934" spans="1:17">
      <c r="A934" s="6"/>
      <c r="B934" s="7"/>
      <c r="C934" s="8" t="s">
        <v>98</v>
      </c>
      <c r="D934" s="9" t="s">
        <v>39</v>
      </c>
      <c r="E934" s="74" t="s">
        <v>99</v>
      </c>
      <c r="F934" s="75" t="s">
        <v>100</v>
      </c>
      <c r="G934" s="11" t="s">
        <v>101</v>
      </c>
      <c r="H934" s="12"/>
      <c r="J934">
        <f>1.6/0.15</f>
        <v>10.666666666666668</v>
      </c>
      <c r="K934">
        <v>11</v>
      </c>
      <c r="L934">
        <v>1.4</v>
      </c>
      <c r="M934">
        <v>3.2810000000000001</v>
      </c>
      <c r="N934">
        <v>0.66700000000000004</v>
      </c>
      <c r="O934">
        <f>+K934*L934*M934*N934/100</f>
        <v>0.337017758</v>
      </c>
    </row>
    <row r="935" spans="1:17">
      <c r="A935" s="6"/>
      <c r="B935" s="7"/>
      <c r="C935" s="8"/>
      <c r="D935" s="9"/>
      <c r="E935" s="74"/>
      <c r="F935" s="75"/>
      <c r="G935" s="11"/>
      <c r="H935" s="12"/>
      <c r="J935">
        <f>1.4/0.15</f>
        <v>9.3333333333333339</v>
      </c>
      <c r="K935">
        <v>9</v>
      </c>
      <c r="L935">
        <v>1.6</v>
      </c>
      <c r="M935">
        <v>3.2810000000000001</v>
      </c>
      <c r="N935">
        <v>0.66700000000000004</v>
      </c>
      <c r="O935">
        <f>+K935*L935*M935*N935/100</f>
        <v>0.31513348800000002</v>
      </c>
    </row>
    <row r="936" spans="1:17">
      <c r="A936" s="19"/>
      <c r="B936" s="56" t="s">
        <v>1535</v>
      </c>
      <c r="C936" s="65">
        <v>2.5000000000000001E-3</v>
      </c>
      <c r="D936" s="57" t="s">
        <v>20</v>
      </c>
      <c r="E936" s="61">
        <f>'Analisis Auxiliares'!$G$55</f>
        <v>8214.5499999999993</v>
      </c>
      <c r="F936" s="61"/>
      <c r="G936" s="17">
        <f>+C936*E936+C936*F936</f>
        <v>20.536375</v>
      </c>
      <c r="H936" s="12"/>
      <c r="O936">
        <f>SUM(O934:O935)</f>
        <v>0.65215124600000007</v>
      </c>
      <c r="P936">
        <f>+O936*1.05</f>
        <v>0.68475880830000013</v>
      </c>
      <c r="Q936">
        <f>+P936/J933</f>
        <v>0.67932421458333347</v>
      </c>
    </row>
    <row r="937" spans="1:17">
      <c r="A937" s="19"/>
      <c r="B937" s="56" t="s">
        <v>1536</v>
      </c>
      <c r="C937" s="62">
        <v>0.33329999999999999</v>
      </c>
      <c r="D937" s="57" t="s">
        <v>190</v>
      </c>
      <c r="E937" s="61">
        <f>Materiales!$D$64</f>
        <v>101.69491525423729</v>
      </c>
      <c r="F937" s="61">
        <f>+E937*0.18</f>
        <v>18.305084745762709</v>
      </c>
      <c r="G937" s="17">
        <f>+C937*E937+C937*F937</f>
        <v>39.995999999999995</v>
      </c>
      <c r="H937" s="18"/>
    </row>
    <row r="938" spans="1:17">
      <c r="A938" s="19"/>
      <c r="B938" s="56" t="s">
        <v>1537</v>
      </c>
      <c r="C938" s="62">
        <v>1</v>
      </c>
      <c r="D938" s="57" t="s">
        <v>14</v>
      </c>
      <c r="E938" s="61">
        <v>68.430000000000007</v>
      </c>
      <c r="F938" s="61">
        <v>0</v>
      </c>
      <c r="G938" s="17">
        <f>+C938*E938+C938*F938</f>
        <v>68.430000000000007</v>
      </c>
      <c r="H938" s="12"/>
    </row>
    <row r="939" spans="1:17" ht="15.75" thickBot="1">
      <c r="A939" s="21"/>
      <c r="B939" s="22"/>
      <c r="C939" s="23"/>
      <c r="D939" s="24" t="s">
        <v>111</v>
      </c>
      <c r="E939" s="78"/>
      <c r="F939" s="79"/>
      <c r="G939" s="26">
        <f>SUM(G936:G938)</f>
        <v>128.96237500000001</v>
      </c>
      <c r="H939" s="27" t="s">
        <v>43</v>
      </c>
    </row>
    <row r="940" spans="1:17" ht="15.75" thickTop="1">
      <c r="B940" s="55"/>
    </row>
    <row r="941" spans="1:17">
      <c r="A941" s="4"/>
      <c r="B941" s="370" t="s">
        <v>55</v>
      </c>
      <c r="C941" s="370"/>
      <c r="D941" s="370"/>
      <c r="E941" s="370"/>
      <c r="F941" s="370"/>
      <c r="G941" s="370"/>
      <c r="H941" s="370"/>
    </row>
    <row r="942" spans="1:17">
      <c r="A942" s="6"/>
      <c r="B942" s="7"/>
      <c r="C942" s="8" t="s">
        <v>98</v>
      </c>
      <c r="D942" s="9" t="s">
        <v>39</v>
      </c>
      <c r="E942" s="74" t="s">
        <v>99</v>
      </c>
      <c r="F942" s="75" t="s">
        <v>100</v>
      </c>
      <c r="G942" s="11" t="s">
        <v>101</v>
      </c>
      <c r="H942" s="12"/>
    </row>
    <row r="943" spans="1:17">
      <c r="A943" s="19"/>
      <c r="B943" s="56" t="s">
        <v>1559</v>
      </c>
      <c r="C943" s="62">
        <v>1.0500000000000001E-2</v>
      </c>
      <c r="D943" s="57" t="s">
        <v>20</v>
      </c>
      <c r="E943" s="61">
        <f>'Analisis Auxiliares'!$G$44</f>
        <v>6785.5</v>
      </c>
      <c r="F943" s="61"/>
      <c r="G943" s="17">
        <f>+C943*E943+C943*F943</f>
        <v>71.247750000000011</v>
      </c>
      <c r="H943" s="12"/>
    </row>
    <row r="944" spans="1:17">
      <c r="A944" s="19"/>
      <c r="B944" s="56" t="s">
        <v>1560</v>
      </c>
      <c r="C944" s="62">
        <v>1</v>
      </c>
      <c r="D944" s="57" t="s">
        <v>14</v>
      </c>
      <c r="E944" s="61">
        <v>72.819999999999993</v>
      </c>
      <c r="F944" s="61"/>
      <c r="G944" s="17">
        <f t="shared" ref="G944:G945" si="101">+C944*E944+C944*F944</f>
        <v>72.819999999999993</v>
      </c>
      <c r="H944" s="12"/>
    </row>
    <row r="945" spans="1:17">
      <c r="A945" s="19"/>
      <c r="B945" s="56" t="s">
        <v>1561</v>
      </c>
      <c r="C945" s="62"/>
      <c r="D945" s="57" t="s">
        <v>290</v>
      </c>
      <c r="E945" s="61">
        <v>847</v>
      </c>
      <c r="F945" s="61"/>
      <c r="G945" s="17">
        <f t="shared" si="101"/>
        <v>0</v>
      </c>
      <c r="H945" s="12"/>
    </row>
    <row r="946" spans="1:17" ht="15.75" thickBot="1">
      <c r="A946" s="21"/>
      <c r="B946" s="22"/>
      <c r="C946" s="23"/>
      <c r="D946" s="24" t="s">
        <v>111</v>
      </c>
      <c r="E946" s="78"/>
      <c r="F946" s="79"/>
      <c r="G946" s="26">
        <f>SUM(G943:G945)</f>
        <v>144.06774999999999</v>
      </c>
      <c r="H946" s="27" t="s">
        <v>43</v>
      </c>
    </row>
    <row r="947" spans="1:17" ht="15.75" thickTop="1">
      <c r="B947" s="55"/>
    </row>
    <row r="948" spans="1:17">
      <c r="A948" s="64"/>
      <c r="B948" s="370" t="s">
        <v>57</v>
      </c>
      <c r="C948" s="370"/>
      <c r="D948" s="370"/>
      <c r="E948" s="370"/>
      <c r="F948" s="370"/>
      <c r="G948" s="370"/>
      <c r="H948" s="370"/>
      <c r="J948">
        <v>4.0000000000000008E-2</v>
      </c>
      <c r="K948">
        <v>25</v>
      </c>
      <c r="L948">
        <v>0</v>
      </c>
      <c r="M948">
        <v>3.2810000000000001</v>
      </c>
      <c r="N948">
        <v>0.66700000000000004</v>
      </c>
      <c r="O948">
        <v>0</v>
      </c>
    </row>
    <row r="949" spans="1:17">
      <c r="A949" s="6"/>
      <c r="B949" s="7"/>
      <c r="C949" s="8" t="s">
        <v>98</v>
      </c>
      <c r="D949" s="9" t="s">
        <v>39</v>
      </c>
      <c r="E949" s="74" t="s">
        <v>99</v>
      </c>
      <c r="F949" s="75" t="s">
        <v>100</v>
      </c>
      <c r="G949" s="11" t="s">
        <v>101</v>
      </c>
      <c r="H949" s="12"/>
      <c r="J949">
        <f>1/J948</f>
        <v>24.999999999999996</v>
      </c>
      <c r="K949">
        <v>25</v>
      </c>
      <c r="L949">
        <v>5</v>
      </c>
      <c r="M949">
        <v>3.2810000000000001</v>
      </c>
      <c r="N949">
        <v>0.378</v>
      </c>
      <c r="O949">
        <f>+K949*L949*M949*N949/100</f>
        <v>1.5502725000000002</v>
      </c>
    </row>
    <row r="950" spans="1:17">
      <c r="A950" s="19"/>
      <c r="B950" s="60" t="str">
        <f>+B948</f>
        <v>Tapa de cisterna de acero inoxidable (0.60 x 0.60)</v>
      </c>
      <c r="C950" s="62">
        <v>1</v>
      </c>
      <c r="D950" s="57" t="s">
        <v>1492</v>
      </c>
      <c r="E950" s="61">
        <f>2300/1.18</f>
        <v>1949.1525423728815</v>
      </c>
      <c r="F950" s="61">
        <f>+E950*0.18</f>
        <v>350.84745762711867</v>
      </c>
      <c r="G950" s="17">
        <f>+C950*E950+C950*F950</f>
        <v>2300</v>
      </c>
      <c r="H950" s="12"/>
      <c r="J950">
        <f>+K949/0.25</f>
        <v>100</v>
      </c>
      <c r="K950">
        <v>100</v>
      </c>
      <c r="L950">
        <f>0.2*4</f>
        <v>0.8</v>
      </c>
      <c r="M950">
        <v>3.2810000000000001</v>
      </c>
      <c r="N950">
        <v>0.378</v>
      </c>
      <c r="O950">
        <f>+K950*L950*M950*N950/100</f>
        <v>0.99217440000000012</v>
      </c>
      <c r="P950">
        <f>+O950*1.05</f>
        <v>1.0417831200000001</v>
      </c>
      <c r="Q950">
        <f>+P950/J948</f>
        <v>26.044577999999998</v>
      </c>
    </row>
    <row r="951" spans="1:17" ht="15.75" thickBot="1">
      <c r="A951" s="21"/>
      <c r="B951" s="22"/>
      <c r="C951" s="23"/>
      <c r="D951" s="24" t="s">
        <v>111</v>
      </c>
      <c r="E951" s="78"/>
      <c r="F951" s="79"/>
      <c r="G951" s="26">
        <f>SUM(G950:G950)</f>
        <v>2300</v>
      </c>
      <c r="H951" s="27" t="s">
        <v>1492</v>
      </c>
      <c r="O951" t="e">
        <f>SUM(#REF!)</f>
        <v>#REF!</v>
      </c>
      <c r="P951" t="e">
        <f>+O951*1.05</f>
        <v>#REF!</v>
      </c>
    </row>
    <row r="952" spans="1:17" ht="15.75" thickTop="1"/>
    <row r="953" spans="1:17">
      <c r="A953" s="64"/>
      <c r="B953" s="370" t="e">
        <f>#REF!</f>
        <v>#REF!</v>
      </c>
      <c r="C953" s="370"/>
      <c r="D953" s="370"/>
      <c r="E953" s="370"/>
      <c r="F953" s="370"/>
      <c r="G953" s="370"/>
      <c r="H953" s="370"/>
    </row>
    <row r="954" spans="1:17">
      <c r="A954" s="6"/>
      <c r="B954" s="7"/>
      <c r="C954" s="8" t="s">
        <v>98</v>
      </c>
      <c r="D954" s="9" t="s">
        <v>39</v>
      </c>
      <c r="E954" s="74" t="s">
        <v>99</v>
      </c>
      <c r="F954" s="75" t="s">
        <v>100</v>
      </c>
      <c r="G954" s="11" t="s">
        <v>101</v>
      </c>
      <c r="H954" s="12"/>
    </row>
    <row r="955" spans="1:17">
      <c r="A955" s="13"/>
      <c r="B955" s="60" t="e">
        <f>+B953</f>
        <v>#REF!</v>
      </c>
      <c r="C955" s="57">
        <v>1</v>
      </c>
      <c r="D955" s="57" t="s">
        <v>1492</v>
      </c>
      <c r="E955" s="76">
        <f>Materiales!$D$1037</f>
        <v>7415.2542372881353</v>
      </c>
      <c r="F955" s="76">
        <f>+E955*0.18</f>
        <v>1334.7457627118642</v>
      </c>
      <c r="G955" s="17">
        <f>+C955*E955+C955*F955</f>
        <v>8750</v>
      </c>
      <c r="H955" s="18"/>
    </row>
    <row r="956" spans="1:17" ht="15.75" thickBot="1">
      <c r="A956" s="21"/>
      <c r="B956" s="22"/>
      <c r="C956" s="23"/>
      <c r="D956" s="24" t="s">
        <v>111</v>
      </c>
      <c r="E956" s="78"/>
      <c r="F956" s="79"/>
      <c r="G956" s="26">
        <f>SUM(G955:G955)</f>
        <v>8750</v>
      </c>
      <c r="H956" s="27" t="s">
        <v>1492</v>
      </c>
    </row>
    <row r="957" spans="1:17" ht="15.75" thickTop="1"/>
    <row r="958" spans="1:17">
      <c r="A958" s="64"/>
      <c r="B958" s="370" t="e">
        <f>#REF!</f>
        <v>#REF!</v>
      </c>
      <c r="C958" s="370"/>
      <c r="D958" s="370"/>
      <c r="E958" s="370"/>
      <c r="F958" s="370"/>
      <c r="G958" s="370"/>
      <c r="H958" s="370"/>
    </row>
    <row r="959" spans="1:17">
      <c r="A959" s="6"/>
      <c r="B959" s="7"/>
      <c r="C959" s="8" t="s">
        <v>98</v>
      </c>
      <c r="D959" s="9" t="s">
        <v>39</v>
      </c>
      <c r="E959" s="74" t="s">
        <v>99</v>
      </c>
      <c r="F959" s="75" t="s">
        <v>100</v>
      </c>
      <c r="G959" s="11" t="s">
        <v>101</v>
      </c>
      <c r="H959" s="12"/>
    </row>
    <row r="960" spans="1:17">
      <c r="A960" s="13"/>
      <c r="B960" s="60" t="e">
        <f>+B958</f>
        <v>#REF!</v>
      </c>
      <c r="C960" s="57">
        <v>1</v>
      </c>
      <c r="D960" s="57" t="s">
        <v>1492</v>
      </c>
      <c r="E960" s="76">
        <f>Materiales!$D$1018</f>
        <v>49088.983050847455</v>
      </c>
      <c r="F960" s="76">
        <f>+E960*0.18</f>
        <v>8836.0169491525412</v>
      </c>
      <c r="G960" s="17">
        <f>+C960*E960+C960*F960</f>
        <v>57925</v>
      </c>
      <c r="H960" s="18"/>
    </row>
    <row r="961" spans="1:8" ht="15.75" thickBot="1">
      <c r="A961" s="21"/>
      <c r="B961" s="22"/>
      <c r="C961" s="23"/>
      <c r="D961" s="24" t="s">
        <v>111</v>
      </c>
      <c r="E961" s="78"/>
      <c r="F961" s="79"/>
      <c r="G961" s="26">
        <f>SUM(G960:G960)</f>
        <v>57925</v>
      </c>
      <c r="H961" s="27" t="s">
        <v>1492</v>
      </c>
    </row>
    <row r="962" spans="1:8" ht="15.75" thickTop="1"/>
    <row r="963" spans="1:8">
      <c r="A963" s="64"/>
      <c r="B963" s="370" t="e">
        <f>#REF!</f>
        <v>#REF!</v>
      </c>
      <c r="C963" s="370"/>
      <c r="D963" s="370"/>
      <c r="E963" s="370"/>
      <c r="F963" s="370"/>
      <c r="G963" s="370"/>
      <c r="H963" s="370"/>
    </row>
    <row r="964" spans="1:8">
      <c r="A964" s="6"/>
      <c r="B964" s="7"/>
      <c r="C964" s="8" t="s">
        <v>98</v>
      </c>
      <c r="D964" s="9" t="s">
        <v>39</v>
      </c>
      <c r="E964" s="74" t="s">
        <v>99</v>
      </c>
      <c r="F964" s="75" t="s">
        <v>100</v>
      </c>
      <c r="G964" s="11" t="s">
        <v>101</v>
      </c>
      <c r="H964" s="12"/>
    </row>
    <row r="965" spans="1:8">
      <c r="A965" s="13"/>
      <c r="B965" s="60" t="e">
        <f>+B960</f>
        <v>#REF!</v>
      </c>
      <c r="C965" s="57">
        <v>1</v>
      </c>
      <c r="D965" s="57" t="s">
        <v>1492</v>
      </c>
      <c r="E965" s="76">
        <f>+G961</f>
        <v>57925</v>
      </c>
      <c r="F965" s="76"/>
      <c r="G965" s="17">
        <f>+C965*E965+C965*F965</f>
        <v>57925</v>
      </c>
      <c r="H965" s="18"/>
    </row>
    <row r="966" spans="1:8">
      <c r="A966" s="13"/>
      <c r="B966" s="60" t="e">
        <f>$B$955</f>
        <v>#REF!</v>
      </c>
      <c r="C966" s="57">
        <v>1</v>
      </c>
      <c r="D966" s="57" t="s">
        <v>1492</v>
      </c>
      <c r="E966" s="76">
        <f>$G$956</f>
        <v>8750</v>
      </c>
      <c r="F966" s="76"/>
      <c r="G966" s="17">
        <f>+C966*E966+C966*F966</f>
        <v>8750</v>
      </c>
      <c r="H966" s="18"/>
    </row>
    <row r="967" spans="1:8">
      <c r="A967" s="13"/>
      <c r="B967" s="60"/>
      <c r="C967" s="57"/>
      <c r="D967" s="57"/>
      <c r="E967" s="76"/>
      <c r="F967" s="94">
        <v>0.2</v>
      </c>
      <c r="G967" s="17"/>
      <c r="H967" s="18"/>
    </row>
    <row r="968" spans="1:8">
      <c r="A968" s="13"/>
      <c r="B968" s="60"/>
      <c r="C968" s="57"/>
      <c r="D968" s="57"/>
      <c r="E968" s="76"/>
      <c r="F968" s="76"/>
      <c r="G968" s="17"/>
      <c r="H968" s="18"/>
    </row>
    <row r="969" spans="1:8" ht="15.75" thickBot="1">
      <c r="A969" s="21"/>
      <c r="B969" s="22"/>
      <c r="C969" s="23"/>
      <c r="D969" s="24" t="s">
        <v>111</v>
      </c>
      <c r="E969" s="78"/>
      <c r="F969" s="79"/>
      <c r="G969" s="26">
        <f>+(G965+G966)*F967</f>
        <v>13335</v>
      </c>
      <c r="H969" s="27" t="s">
        <v>1492</v>
      </c>
    </row>
    <row r="970" spans="1:8" ht="15.75" thickTop="1"/>
    <row r="971" spans="1:8">
      <c r="A971" s="53"/>
      <c r="B971" s="53" t="e">
        <f>#REF!</f>
        <v>#REF!</v>
      </c>
      <c r="C971" s="54"/>
      <c r="D971" s="54"/>
      <c r="E971" s="72"/>
      <c r="F971" s="72"/>
      <c r="G971" s="54"/>
      <c r="H971" s="54"/>
    </row>
    <row r="972" spans="1:8" ht="12.75" customHeight="1">
      <c r="C972" s="68"/>
    </row>
    <row r="973" spans="1:8" ht="12.75" customHeight="1">
      <c r="A973" s="4"/>
      <c r="B973" s="370" t="e">
        <f>#REF!</f>
        <v>#REF!</v>
      </c>
      <c r="C973" s="370"/>
      <c r="D973" s="370"/>
      <c r="E973" s="370"/>
      <c r="F973" s="370"/>
      <c r="G973" s="370"/>
      <c r="H973" s="370"/>
    </row>
    <row r="974" spans="1:8" ht="12.75" customHeight="1">
      <c r="A974" s="6"/>
      <c r="B974" s="7"/>
      <c r="C974" s="69" t="s">
        <v>98</v>
      </c>
      <c r="D974" s="9" t="s">
        <v>39</v>
      </c>
      <c r="E974" s="74" t="s">
        <v>99</v>
      </c>
      <c r="F974" s="75" t="s">
        <v>100</v>
      </c>
      <c r="G974" s="11" t="s">
        <v>101</v>
      </c>
      <c r="H974" s="12"/>
    </row>
    <row r="975" spans="1:8" ht="12.75" customHeight="1">
      <c r="A975" s="13"/>
      <c r="B975" s="56" t="s">
        <v>1637</v>
      </c>
      <c r="C975" s="70">
        <v>0.35</v>
      </c>
      <c r="D975" s="57" t="s">
        <v>1638</v>
      </c>
      <c r="E975" s="76">
        <v>358.33</v>
      </c>
      <c r="F975" s="76"/>
      <c r="G975" s="17">
        <f>+C975*E975+C975*F975</f>
        <v>125.41549999999998</v>
      </c>
      <c r="H975" s="18"/>
    </row>
    <row r="976" spans="1:8" ht="12.75" customHeight="1">
      <c r="A976" s="13"/>
      <c r="B976" s="56" t="s">
        <v>1639</v>
      </c>
      <c r="C976" s="70">
        <f>0.35*4</f>
        <v>1.4</v>
      </c>
      <c r="D976" s="57" t="s">
        <v>1638</v>
      </c>
      <c r="E976" s="76">
        <v>123.44</v>
      </c>
      <c r="F976" s="76"/>
      <c r="G976" s="17">
        <f>+C976*E976+C976*F976</f>
        <v>172.81599999999997</v>
      </c>
      <c r="H976" s="18"/>
    </row>
    <row r="977" spans="1:8" ht="12.75" customHeight="1">
      <c r="A977" s="13"/>
      <c r="B977" s="56" t="s">
        <v>1640</v>
      </c>
      <c r="C977" s="70">
        <v>0.02</v>
      </c>
      <c r="D977" s="57" t="s">
        <v>47</v>
      </c>
      <c r="E977" s="76">
        <f>SUM(G975:G976)</f>
        <v>298.23149999999998</v>
      </c>
      <c r="F977" s="76"/>
      <c r="G977" s="17">
        <f>+C977*E977+C977*F977</f>
        <v>5.9646299999999997</v>
      </c>
      <c r="H977" s="18"/>
    </row>
    <row r="978" spans="1:8" ht="15.75" thickBot="1">
      <c r="A978" s="21"/>
      <c r="B978" s="22"/>
      <c r="C978" s="71"/>
      <c r="D978" s="24" t="s">
        <v>111</v>
      </c>
      <c r="E978" s="78"/>
      <c r="F978" s="79"/>
      <c r="G978" s="26">
        <f>SUM(G975:G977)</f>
        <v>304.19612999999998</v>
      </c>
      <c r="H978" s="27" t="s">
        <v>20</v>
      </c>
    </row>
    <row r="979" spans="1:8" ht="12.75" customHeight="1" thickTop="1">
      <c r="C979" s="68"/>
    </row>
    <row r="980" spans="1:8" ht="12.75" customHeight="1">
      <c r="A980" s="4"/>
      <c r="B980" s="370" t="e">
        <f>#REF!</f>
        <v>#REF!</v>
      </c>
      <c r="C980" s="370"/>
      <c r="D980" s="370"/>
      <c r="E980" s="370"/>
      <c r="F980" s="370"/>
      <c r="G980" s="370"/>
      <c r="H980" s="370"/>
    </row>
    <row r="981" spans="1:8" ht="12.75" customHeight="1">
      <c r="A981" s="6"/>
      <c r="B981" s="7"/>
      <c r="C981" s="69" t="s">
        <v>98</v>
      </c>
      <c r="D981" s="9" t="s">
        <v>39</v>
      </c>
      <c r="E981" s="74" t="s">
        <v>99</v>
      </c>
      <c r="F981" s="75" t="s">
        <v>100</v>
      </c>
      <c r="G981" s="11" t="s">
        <v>101</v>
      </c>
      <c r="H981" s="12"/>
    </row>
    <row r="982" spans="1:8" ht="12.75" customHeight="1">
      <c r="A982" s="13"/>
      <c r="B982" s="56" t="s">
        <v>1637</v>
      </c>
      <c r="C982" s="70">
        <v>0.15</v>
      </c>
      <c r="D982" s="57" t="s">
        <v>1638</v>
      </c>
      <c r="E982" s="76">
        <v>358.33</v>
      </c>
      <c r="F982" s="76"/>
      <c r="G982" s="17">
        <f>+C982*E982+C982*F982</f>
        <v>53.749499999999998</v>
      </c>
      <c r="H982" s="18"/>
    </row>
    <row r="983" spans="1:8" ht="12.75" customHeight="1">
      <c r="A983" s="13"/>
      <c r="B983" s="56" t="s">
        <v>1641</v>
      </c>
      <c r="C983" s="70">
        <v>0.3</v>
      </c>
      <c r="D983" s="57" t="s">
        <v>1638</v>
      </c>
      <c r="E983" s="76">
        <v>123.44</v>
      </c>
      <c r="F983" s="76"/>
      <c r="G983" s="17">
        <f>+C983*E983+C983*F983</f>
        <v>37.031999999999996</v>
      </c>
      <c r="H983" s="18"/>
    </row>
    <row r="984" spans="1:8" ht="12.75" customHeight="1">
      <c r="A984" s="13"/>
      <c r="B984" s="56" t="s">
        <v>1642</v>
      </c>
      <c r="C984" s="70">
        <v>0.05</v>
      </c>
      <c r="D984" s="57" t="s">
        <v>47</v>
      </c>
      <c r="E984" s="76">
        <f>SUM(G982:G983)</f>
        <v>90.781499999999994</v>
      </c>
      <c r="F984" s="76"/>
      <c r="G984" s="17">
        <f>+C984*E984+C984*F984</f>
        <v>4.5390749999999995</v>
      </c>
      <c r="H984" s="18"/>
    </row>
    <row r="985" spans="1:8" ht="15.75" thickBot="1">
      <c r="A985" s="21"/>
      <c r="B985" s="22"/>
      <c r="C985" s="71"/>
      <c r="D985" s="24" t="s">
        <v>111</v>
      </c>
      <c r="E985" s="78"/>
      <c r="F985" s="79"/>
      <c r="G985" s="26">
        <f>SUM(G982:G984)</f>
        <v>95.320574999999991</v>
      </c>
      <c r="H985" s="27" t="s">
        <v>20</v>
      </c>
    </row>
    <row r="986" spans="1:8" ht="15.75" thickTop="1">
      <c r="B986" s="55"/>
    </row>
    <row r="987" spans="1:8">
      <c r="A987" s="4"/>
      <c r="B987" s="370" t="e">
        <f>#REF!</f>
        <v>#REF!</v>
      </c>
      <c r="C987" s="370"/>
      <c r="D987" s="370"/>
      <c r="E987" s="370"/>
      <c r="F987" s="370"/>
      <c r="G987" s="370"/>
      <c r="H987" s="370"/>
    </row>
    <row r="988" spans="1:8">
      <c r="A988" s="6"/>
      <c r="B988" s="7"/>
      <c r="C988" s="8" t="s">
        <v>98</v>
      </c>
      <c r="D988" s="9" t="s">
        <v>39</v>
      </c>
      <c r="E988" s="74" t="s">
        <v>99</v>
      </c>
      <c r="F988" s="75" t="s">
        <v>100</v>
      </c>
      <c r="G988" s="11" t="s">
        <v>101</v>
      </c>
      <c r="H988" s="12"/>
    </row>
    <row r="989" spans="1:8">
      <c r="A989" s="6"/>
      <c r="B989" s="7"/>
      <c r="C989" s="8"/>
      <c r="D989" s="9"/>
      <c r="E989" s="74"/>
      <c r="F989" s="75"/>
      <c r="G989" s="11"/>
      <c r="H989" s="12"/>
    </row>
    <row r="990" spans="1:8">
      <c r="A990" s="19"/>
      <c r="B990" s="56" t="s">
        <v>1505</v>
      </c>
      <c r="C990" s="62">
        <v>1</v>
      </c>
      <c r="D990" s="57" t="s">
        <v>1506</v>
      </c>
      <c r="E990" s="61">
        <v>78.5</v>
      </c>
      <c r="F990" s="61"/>
      <c r="G990" s="17">
        <f>+C990*E990+C990*F990</f>
        <v>78.5</v>
      </c>
      <c r="H990" s="12"/>
    </row>
    <row r="991" spans="1:8">
      <c r="A991" s="19"/>
      <c r="B991" s="56" t="s">
        <v>1507</v>
      </c>
      <c r="C991" s="62">
        <v>5</v>
      </c>
      <c r="D991" s="57" t="s">
        <v>1506</v>
      </c>
      <c r="E991" s="61">
        <v>24.76</v>
      </c>
      <c r="F991" s="61"/>
      <c r="G991" s="17">
        <f>+C991*E991+C991*F991</f>
        <v>123.80000000000001</v>
      </c>
      <c r="H991" s="18"/>
    </row>
    <row r="992" spans="1:8">
      <c r="A992" s="19"/>
      <c r="B992" s="56" t="s">
        <v>1508</v>
      </c>
      <c r="C992" s="62">
        <v>5</v>
      </c>
      <c r="D992" s="57" t="s">
        <v>1506</v>
      </c>
      <c r="E992" s="61">
        <v>19.22</v>
      </c>
      <c r="F992" s="61"/>
      <c r="G992" s="17">
        <f>+C992*E992+C992*F992</f>
        <v>96.1</v>
      </c>
      <c r="H992" s="12"/>
    </row>
    <row r="993" spans="1:17">
      <c r="A993" s="19"/>
      <c r="B993" s="56"/>
      <c r="C993" s="62"/>
      <c r="D993" s="57"/>
      <c r="E993" s="61"/>
      <c r="F993" s="61"/>
      <c r="G993" s="17"/>
      <c r="H993" s="12"/>
    </row>
    <row r="994" spans="1:17" ht="15.75" thickBot="1">
      <c r="A994" s="21"/>
      <c r="B994" s="22"/>
      <c r="C994" s="23"/>
      <c r="D994" s="24" t="s">
        <v>111</v>
      </c>
      <c r="E994" s="78"/>
      <c r="F994" s="79"/>
      <c r="G994" s="26">
        <f>SUM(G990:G993)</f>
        <v>298.39999999999998</v>
      </c>
      <c r="H994" s="27" t="s">
        <v>106</v>
      </c>
    </row>
    <row r="995" spans="1:17" ht="15.75" thickTop="1">
      <c r="B995" s="55"/>
      <c r="J995">
        <f>0.45*0.2</f>
        <v>9.0000000000000011E-2</v>
      </c>
      <c r="K995">
        <f>1/J995</f>
        <v>11.111111111111109</v>
      </c>
    </row>
    <row r="996" spans="1:17">
      <c r="A996" s="64"/>
      <c r="B996" s="370" t="e">
        <f>#REF!</f>
        <v>#REF!</v>
      </c>
      <c r="C996" s="370"/>
      <c r="D996" s="370"/>
      <c r="E996" s="370"/>
      <c r="F996" s="370"/>
      <c r="G996" s="370"/>
      <c r="H996" s="370"/>
      <c r="J996">
        <v>0.1125</v>
      </c>
      <c r="K996">
        <v>55</v>
      </c>
      <c r="L996">
        <f>0.45+0.1*2</f>
        <v>0.65</v>
      </c>
      <c r="M996">
        <v>3.2810000000000001</v>
      </c>
      <c r="N996">
        <v>0.378</v>
      </c>
      <c r="O996">
        <f>+K996*L996*M996*N996/100</f>
        <v>0.44337793499999995</v>
      </c>
    </row>
    <row r="997" spans="1:17">
      <c r="A997" s="6"/>
      <c r="B997" s="7"/>
      <c r="C997" s="8" t="s">
        <v>98</v>
      </c>
      <c r="D997" s="9" t="s">
        <v>39</v>
      </c>
      <c r="E997" s="74" t="s">
        <v>99</v>
      </c>
      <c r="F997" s="75" t="s">
        <v>100</v>
      </c>
      <c r="G997" s="11" t="s">
        <v>101</v>
      </c>
      <c r="H997" s="12"/>
      <c r="J997">
        <f>1/J996</f>
        <v>8.8888888888888893</v>
      </c>
      <c r="K997">
        <v>11.1111</v>
      </c>
      <c r="L997">
        <v>3</v>
      </c>
      <c r="M997">
        <v>3.2810000000000001</v>
      </c>
      <c r="N997">
        <v>0.378</v>
      </c>
      <c r="O997">
        <f>+K997*L997*M997*N997/100</f>
        <v>0.41340558659400001</v>
      </c>
    </row>
    <row r="998" spans="1:17">
      <c r="A998" s="19"/>
      <c r="B998" s="56" t="s">
        <v>1511</v>
      </c>
      <c r="C998" s="62">
        <v>1.05</v>
      </c>
      <c r="D998" s="57" t="s">
        <v>1510</v>
      </c>
      <c r="E998" s="61">
        <f>Materiales!$D$105</f>
        <v>5677.9661016949149</v>
      </c>
      <c r="F998" s="61">
        <f>+E998*0.18</f>
        <v>1022.0338983050847</v>
      </c>
      <c r="G998" s="17">
        <f>+C998*E998+C998*F998</f>
        <v>7035</v>
      </c>
      <c r="H998" s="12"/>
      <c r="J998">
        <f>+K997/0.2</f>
        <v>55.555500000000002</v>
      </c>
      <c r="O998">
        <f>SUM(O996:O997)</f>
        <v>0.85678352159399995</v>
      </c>
      <c r="P998">
        <f>+O998*1.05</f>
        <v>0.89962269767369996</v>
      </c>
      <c r="Q998">
        <f>+P998/J996</f>
        <v>7.9966462015439994</v>
      </c>
    </row>
    <row r="999" spans="1:17">
      <c r="A999" s="19"/>
      <c r="B999" s="56" t="s">
        <v>1646</v>
      </c>
      <c r="C999" s="62">
        <v>0.9</v>
      </c>
      <c r="D999" s="57" t="s">
        <v>1513</v>
      </c>
      <c r="E999" s="61">
        <f>Materiales!$D$38</f>
        <v>3305.0847457627119</v>
      </c>
      <c r="F999" s="61">
        <f t="shared" ref="F999:F1000" si="102">+E999*0.18</f>
        <v>594.91525423728808</v>
      </c>
      <c r="G999" s="17">
        <f>+C999*E999+C999*F999</f>
        <v>3510</v>
      </c>
      <c r="H999" s="18"/>
    </row>
    <row r="1000" spans="1:17">
      <c r="A1000" s="19"/>
      <c r="B1000" s="56" t="s">
        <v>1514</v>
      </c>
      <c r="C1000" s="62">
        <f>+C999*2</f>
        <v>1.8</v>
      </c>
      <c r="D1000" s="57" t="s">
        <v>1515</v>
      </c>
      <c r="E1000" s="61">
        <f>Materiales!$D$50</f>
        <v>93.220338983050851</v>
      </c>
      <c r="F1000" s="61">
        <f t="shared" si="102"/>
        <v>16.779661016949152</v>
      </c>
      <c r="G1000" s="17">
        <f>+C1000*E1000+C1000*F1000</f>
        <v>198.00000000000003</v>
      </c>
      <c r="H1000" s="12"/>
    </row>
    <row r="1001" spans="1:17">
      <c r="A1001" s="19"/>
      <c r="B1001" s="56" t="s">
        <v>1516</v>
      </c>
      <c r="C1001" s="62">
        <v>11.1111</v>
      </c>
      <c r="D1001" s="57" t="s">
        <v>43</v>
      </c>
      <c r="E1001" s="61">
        <v>107.87</v>
      </c>
      <c r="F1001" s="61"/>
      <c r="G1001" s="17">
        <f>+C1001*E1001+C1001*F1001</f>
        <v>1198.5543570000002</v>
      </c>
      <c r="H1001" s="12"/>
    </row>
    <row r="1002" spans="1:17" ht="15.75" thickBot="1">
      <c r="A1002" s="21"/>
      <c r="B1002" s="22"/>
      <c r="C1002" s="23"/>
      <c r="D1002" s="24" t="s">
        <v>111</v>
      </c>
      <c r="E1002" s="78"/>
      <c r="F1002" s="79"/>
      <c r="G1002" s="26">
        <f>SUM(G998:G1001)</f>
        <v>11941.554357000001</v>
      </c>
      <c r="H1002" s="27" t="s">
        <v>106</v>
      </c>
    </row>
    <row r="1003" spans="1:17" ht="15.75" thickTop="1">
      <c r="B1003" s="55"/>
      <c r="J1003">
        <f>0.15*0.2</f>
        <v>0.03</v>
      </c>
      <c r="K1003">
        <f>1/J1003</f>
        <v>33.333333333333336</v>
      </c>
    </row>
    <row r="1004" spans="1:17">
      <c r="A1004" s="64"/>
      <c r="B1004" s="370" t="e">
        <f>#REF!</f>
        <v>#REF!</v>
      </c>
      <c r="C1004" s="370"/>
      <c r="D1004" s="370"/>
      <c r="E1004" s="370"/>
      <c r="F1004" s="370"/>
      <c r="G1004" s="370"/>
      <c r="H1004" s="370"/>
      <c r="J1004">
        <v>0.1125</v>
      </c>
      <c r="K1004">
        <v>33.333329999999997</v>
      </c>
      <c r="L1004">
        <v>4</v>
      </c>
      <c r="M1004">
        <v>3.2810000000000001</v>
      </c>
      <c r="N1004">
        <v>0.378</v>
      </c>
      <c r="O1004">
        <f>+K1004*L1004*M1004*N1004/100</f>
        <v>1.6536238346375998</v>
      </c>
    </row>
    <row r="1005" spans="1:17">
      <c r="A1005" s="6"/>
      <c r="B1005" s="7"/>
      <c r="C1005" s="8" t="s">
        <v>98</v>
      </c>
      <c r="D1005" s="9" t="s">
        <v>39</v>
      </c>
      <c r="E1005" s="74" t="s">
        <v>99</v>
      </c>
      <c r="F1005" s="75" t="s">
        <v>100</v>
      </c>
      <c r="G1005" s="11" t="s">
        <v>101</v>
      </c>
      <c r="H1005" s="12"/>
      <c r="J1005">
        <f>+K1004/0.25</f>
        <v>133.33331999999999</v>
      </c>
      <c r="K1005">
        <v>133</v>
      </c>
      <c r="L1005">
        <f>0.15*2+0.2*2</f>
        <v>0.7</v>
      </c>
      <c r="M1005">
        <v>3.2810000000000001</v>
      </c>
      <c r="N1005">
        <v>0.378</v>
      </c>
      <c r="O1005">
        <f>+K1005*L1005*M1005*N1005/100</f>
        <v>1.1546429579999999</v>
      </c>
    </row>
    <row r="1006" spans="1:17">
      <c r="A1006" s="19"/>
      <c r="B1006" s="56" t="s">
        <v>1693</v>
      </c>
      <c r="C1006" s="62">
        <v>1.05</v>
      </c>
      <c r="D1006" s="57" t="s">
        <v>1510</v>
      </c>
      <c r="E1006" s="61">
        <f>'Analisis Auxiliares'!$G$33</f>
        <v>7074</v>
      </c>
      <c r="F1006" s="61"/>
      <c r="G1006" s="17">
        <f>+C1006*E1006+C1006*F1006</f>
        <v>7427.7000000000007</v>
      </c>
      <c r="H1006" s="12"/>
      <c r="J1006">
        <f>+K1005/0.2</f>
        <v>665</v>
      </c>
      <c r="O1006">
        <f>SUM(O1004:O1005)</f>
        <v>2.8082667926375997</v>
      </c>
      <c r="P1006">
        <f>+O1006*1.05</f>
        <v>2.9486801322694798</v>
      </c>
      <c r="Q1006">
        <f>+P1006/J1004</f>
        <v>26.210490064617598</v>
      </c>
    </row>
    <row r="1007" spans="1:17">
      <c r="A1007" s="19"/>
      <c r="B1007" s="56" t="s">
        <v>1646</v>
      </c>
      <c r="C1007" s="62">
        <v>2.95</v>
      </c>
      <c r="D1007" s="57" t="s">
        <v>1513</v>
      </c>
      <c r="E1007" s="61">
        <f>Materiales!$D$38</f>
        <v>3305.0847457627119</v>
      </c>
      <c r="F1007" s="61">
        <f t="shared" ref="F1007:F1008" si="103">+E1007*0.18</f>
        <v>594.91525423728808</v>
      </c>
      <c r="G1007" s="17">
        <f>+C1007*E1007+C1007*F1007</f>
        <v>11505</v>
      </c>
      <c r="H1007" s="18"/>
    </row>
    <row r="1008" spans="1:17">
      <c r="A1008" s="19"/>
      <c r="B1008" s="56" t="s">
        <v>1514</v>
      </c>
      <c r="C1008" s="62">
        <f>+C1007*2</f>
        <v>5.9</v>
      </c>
      <c r="D1008" s="57" t="s">
        <v>1515</v>
      </c>
      <c r="E1008" s="61">
        <f>Materiales!$D$50</f>
        <v>93.220338983050851</v>
      </c>
      <c r="F1008" s="61">
        <f t="shared" si="103"/>
        <v>16.779661016949152</v>
      </c>
      <c r="G1008" s="17">
        <f>+C1008*E1008+C1008*F1008</f>
        <v>649</v>
      </c>
      <c r="H1008" s="12"/>
    </row>
    <row r="1009" spans="1:17">
      <c r="A1009" s="19"/>
      <c r="B1009" s="56" t="s">
        <v>1516</v>
      </c>
      <c r="C1009" s="62">
        <v>33.332999999999998</v>
      </c>
      <c r="D1009" s="57" t="s">
        <v>43</v>
      </c>
      <c r="E1009" s="61">
        <v>107.87</v>
      </c>
      <c r="F1009" s="61"/>
      <c r="G1009" s="17">
        <f>+C1009*E1009+C1009*F1009</f>
        <v>3595.6307099999999</v>
      </c>
      <c r="H1009" s="12"/>
    </row>
    <row r="1010" spans="1:17">
      <c r="A1010" s="19"/>
      <c r="B1010" s="56" t="s">
        <v>1517</v>
      </c>
      <c r="C1010" s="62">
        <v>33.333300000000001</v>
      </c>
      <c r="D1010" s="57" t="s">
        <v>43</v>
      </c>
      <c r="E1010" s="61">
        <v>210</v>
      </c>
      <c r="F1010" s="61"/>
      <c r="G1010" s="17">
        <f>+C1010*E1010+C1010*F1010</f>
        <v>6999.9930000000004</v>
      </c>
      <c r="H1010" s="12"/>
    </row>
    <row r="1011" spans="1:17" ht="15.75" thickBot="1">
      <c r="A1011" s="21"/>
      <c r="B1011" s="22"/>
      <c r="C1011" s="23"/>
      <c r="D1011" s="24" t="s">
        <v>111</v>
      </c>
      <c r="E1011" s="78"/>
      <c r="F1011" s="79"/>
      <c r="G1011" s="26">
        <f>SUM(G1006:G1010)</f>
        <v>30177.323710000004</v>
      </c>
      <c r="H1011" s="27" t="s">
        <v>106</v>
      </c>
    </row>
    <row r="1012" spans="1:17" ht="15.75" thickTop="1">
      <c r="B1012" s="55"/>
    </row>
    <row r="1013" spans="1:17">
      <c r="A1013" s="64"/>
      <c r="B1013" s="370" t="e">
        <f>#REF!</f>
        <v>#REF!</v>
      </c>
      <c r="C1013" s="370"/>
      <c r="D1013" s="370"/>
      <c r="E1013" s="370"/>
      <c r="F1013" s="370"/>
      <c r="G1013" s="370"/>
      <c r="H1013" s="370"/>
      <c r="J1013">
        <v>4.4999999999999998E-2</v>
      </c>
      <c r="K1013">
        <v>2.2222</v>
      </c>
      <c r="L1013">
        <v>0</v>
      </c>
      <c r="M1013">
        <v>3.2810000000000001</v>
      </c>
      <c r="N1013">
        <v>0.66700000000000004</v>
      </c>
      <c r="O1013">
        <v>0</v>
      </c>
    </row>
    <row r="1014" spans="1:17">
      <c r="A1014" s="6"/>
      <c r="B1014" s="7"/>
      <c r="C1014" s="8" t="s">
        <v>98</v>
      </c>
      <c r="D1014" s="9" t="s">
        <v>39</v>
      </c>
      <c r="E1014" s="74" t="s">
        <v>99</v>
      </c>
      <c r="F1014" s="75" t="s">
        <v>100</v>
      </c>
      <c r="G1014" s="11" t="s">
        <v>101</v>
      </c>
      <c r="H1014" s="12"/>
      <c r="J1014">
        <f>1/J1013</f>
        <v>22.222222222222221</v>
      </c>
      <c r="K1014">
        <v>22.22222</v>
      </c>
      <c r="L1014">
        <v>4</v>
      </c>
      <c r="M1014">
        <v>3.2810000000000001</v>
      </c>
      <c r="N1014">
        <v>0.378</v>
      </c>
      <c r="O1014">
        <f>+K1014*L1014*M1014*N1014/100</f>
        <v>1.1024158897584002</v>
      </c>
    </row>
    <row r="1015" spans="1:17">
      <c r="A1015" s="19"/>
      <c r="B1015" s="56" t="s">
        <v>1682</v>
      </c>
      <c r="C1015" s="62">
        <v>1.1000000000000001</v>
      </c>
      <c r="D1015" s="57" t="s">
        <v>1510</v>
      </c>
      <c r="E1015" s="61">
        <f>'Analisis Auxiliares'!$G$33</f>
        <v>7074</v>
      </c>
      <c r="F1015" s="61"/>
      <c r="G1015" s="17">
        <f>+C1015*E1015+C1015*F1015</f>
        <v>7781.4000000000005</v>
      </c>
      <c r="H1015" s="12"/>
      <c r="J1015">
        <f>+K1014/0.25</f>
        <v>88.88888</v>
      </c>
      <c r="K1015">
        <v>89</v>
      </c>
      <c r="L1015">
        <f>0.15*2+0.3*2</f>
        <v>0.89999999999999991</v>
      </c>
      <c r="M1015">
        <v>3.2810000000000001</v>
      </c>
      <c r="N1015">
        <v>0.378</v>
      </c>
      <c r="O1015">
        <f>+K1015*L1015*M1015*N1015/100</f>
        <v>0.99341461799999986</v>
      </c>
      <c r="P1015">
        <f>+O1015*1.05</f>
        <v>1.0430853488999998</v>
      </c>
      <c r="Q1015">
        <f>+P1015/J1013</f>
        <v>23.179674419999998</v>
      </c>
    </row>
    <row r="1016" spans="1:17">
      <c r="A1016" s="19"/>
      <c r="B1016" s="56" t="s">
        <v>1646</v>
      </c>
      <c r="C1016" s="62">
        <v>1.8</v>
      </c>
      <c r="D1016" s="57" t="s">
        <v>1513</v>
      </c>
      <c r="E1016" s="61">
        <f>Materiales!$D$38</f>
        <v>3305.0847457627119</v>
      </c>
      <c r="F1016" s="61">
        <f t="shared" ref="F1016:F1017" si="104">+E1016*0.18</f>
        <v>594.91525423728808</v>
      </c>
      <c r="G1016" s="17">
        <f>+C1016*E1016+C1016*F1016</f>
        <v>7020</v>
      </c>
      <c r="H1016" s="18"/>
      <c r="O1016">
        <f>SUM(O1013:O1015)</f>
        <v>2.0958305077584001</v>
      </c>
      <c r="P1016">
        <f>+O1016*1.05</f>
        <v>2.20062203314632</v>
      </c>
    </row>
    <row r="1017" spans="1:17">
      <c r="A1017" s="19"/>
      <c r="B1017" s="56" t="s">
        <v>1514</v>
      </c>
      <c r="C1017" s="62">
        <f>+C1016*2</f>
        <v>3.6</v>
      </c>
      <c r="D1017" s="57" t="s">
        <v>1515</v>
      </c>
      <c r="E1017" s="61">
        <f>110/1.18</f>
        <v>93.220338983050851</v>
      </c>
      <c r="F1017" s="61">
        <f t="shared" si="104"/>
        <v>16.779661016949152</v>
      </c>
      <c r="G1017" s="17">
        <f>+C1017*E1017+C1017*F1017</f>
        <v>396.00000000000006</v>
      </c>
      <c r="H1017" s="12"/>
      <c r="J1017">
        <f>0.12*0.4</f>
        <v>4.8000000000000001E-2</v>
      </c>
    </row>
    <row r="1018" spans="1:17">
      <c r="A1018" s="19"/>
      <c r="B1018" s="56" t="s">
        <v>1516</v>
      </c>
      <c r="C1018" s="62">
        <f>+C1016</f>
        <v>1.8</v>
      </c>
      <c r="D1018" s="57" t="s">
        <v>1513</v>
      </c>
      <c r="E1018" s="61">
        <v>323.23</v>
      </c>
      <c r="F1018" s="61"/>
      <c r="G1018" s="17">
        <f>+C1018*E1018+C1018*F1018</f>
        <v>581.81400000000008</v>
      </c>
      <c r="H1018" s="12"/>
      <c r="K1018">
        <f>1/J1017</f>
        <v>20.833333333333332</v>
      </c>
      <c r="L1018">
        <v>5</v>
      </c>
      <c r="M1018">
        <v>3.2810000000000001</v>
      </c>
      <c r="N1018">
        <v>0.66669999999999996</v>
      </c>
      <c r="O1018">
        <f>+K1018*L1018*M1018*N1018/100</f>
        <v>2.2785861458333332</v>
      </c>
    </row>
    <row r="1019" spans="1:17">
      <c r="A1019" s="19"/>
      <c r="B1019" s="56" t="s">
        <v>1517</v>
      </c>
      <c r="C1019" s="62">
        <v>10</v>
      </c>
      <c r="D1019" s="57" t="s">
        <v>21</v>
      </c>
      <c r="E1019" s="61">
        <v>350</v>
      </c>
      <c r="F1019" s="61"/>
      <c r="G1019" s="17">
        <f>+C1019*E1019+C1019*F1019</f>
        <v>3500</v>
      </c>
      <c r="H1019" s="12"/>
      <c r="J1019">
        <f>+K1018/0.2</f>
        <v>104.16666666666666</v>
      </c>
      <c r="K1019">
        <v>104</v>
      </c>
      <c r="L1019">
        <f>0.4*2+0.12*2</f>
        <v>1.04</v>
      </c>
      <c r="M1019">
        <v>3.2810000000000001</v>
      </c>
      <c r="N1019">
        <v>0.378</v>
      </c>
      <c r="O1019">
        <f>+K1019*L1019*M1019*N1019/100</f>
        <v>1.3414197887999999</v>
      </c>
    </row>
    <row r="1020" spans="1:17" ht="15.75" thickBot="1">
      <c r="A1020" s="21"/>
      <c r="B1020" s="22"/>
      <c r="C1020" s="23"/>
      <c r="D1020" s="24" t="s">
        <v>111</v>
      </c>
      <c r="E1020" s="78"/>
      <c r="F1020" s="79"/>
      <c r="G1020" s="26">
        <f>SUM(G1015:G1019)</f>
        <v>19279.214</v>
      </c>
      <c r="H1020" s="27" t="s">
        <v>106</v>
      </c>
      <c r="O1020">
        <f>SUM(O1018:O1019)</f>
        <v>3.6200059346333333</v>
      </c>
      <c r="P1020">
        <f>+O1020*1.05</f>
        <v>3.8010062313650002</v>
      </c>
    </row>
    <row r="1021" spans="1:17" ht="15.75" thickTop="1">
      <c r="B1021" s="55"/>
    </row>
    <row r="1022" spans="1:17">
      <c r="A1022" s="64"/>
      <c r="B1022" s="370" t="e">
        <f>#REF!</f>
        <v>#REF!</v>
      </c>
      <c r="C1022" s="370"/>
      <c r="D1022" s="370"/>
      <c r="E1022" s="370"/>
      <c r="F1022" s="370"/>
      <c r="G1022" s="370"/>
      <c r="H1022" s="370"/>
      <c r="J1022">
        <v>3.7499999999999999E-2</v>
      </c>
      <c r="K1022">
        <v>26.666666666666668</v>
      </c>
    </row>
    <row r="1023" spans="1:17">
      <c r="A1023" s="6"/>
      <c r="B1023" s="7"/>
      <c r="C1023" s="8" t="s">
        <v>98</v>
      </c>
      <c r="D1023" s="9" t="s">
        <v>39</v>
      </c>
      <c r="E1023" s="74" t="s">
        <v>99</v>
      </c>
      <c r="F1023" s="75" t="s">
        <v>100</v>
      </c>
      <c r="G1023" s="11" t="s">
        <v>101</v>
      </c>
      <c r="H1023" s="12"/>
      <c r="J1023">
        <f>1.6/0.15</f>
        <v>10.666666666666668</v>
      </c>
      <c r="K1023">
        <v>26.666699999999999</v>
      </c>
      <c r="L1023">
        <v>4</v>
      </c>
      <c r="M1023">
        <v>3.2810000000000001</v>
      </c>
      <c r="N1023">
        <v>0.378</v>
      </c>
      <c r="O1023">
        <f>+K1023*L1023*M1023*N1023/100</f>
        <v>1.3229008536239999</v>
      </c>
    </row>
    <row r="1024" spans="1:17">
      <c r="A1024" s="19"/>
      <c r="B1024" s="56" t="s">
        <v>1682</v>
      </c>
      <c r="C1024" s="62">
        <v>1.1000000000000001</v>
      </c>
      <c r="D1024" s="57" t="s">
        <v>1510</v>
      </c>
      <c r="E1024" s="61">
        <f>'Analisis Auxiliares'!$G$33</f>
        <v>7074</v>
      </c>
      <c r="F1024" s="61"/>
      <c r="G1024" s="17">
        <f>+C1024*E1024+C1024*F1024</f>
        <v>7781.4000000000005</v>
      </c>
      <c r="H1024" s="12"/>
      <c r="J1024">
        <f>+K1023/0.25</f>
        <v>106.66679999999999</v>
      </c>
      <c r="K1024">
        <v>107</v>
      </c>
      <c r="L1024">
        <f>0.15*2+0.25*2</f>
        <v>0.8</v>
      </c>
      <c r="M1024">
        <v>3.2810000000000001</v>
      </c>
      <c r="N1024">
        <v>0.378</v>
      </c>
      <c r="O1024">
        <f>+K1024*L1024*M1024*N1024/100</f>
        <v>1.0616266080000001</v>
      </c>
      <c r="P1024">
        <f>+O1024*1.05</f>
        <v>1.1147079384</v>
      </c>
      <c r="Q1024">
        <f>+P1024/J1022</f>
        <v>29.725545024000002</v>
      </c>
    </row>
    <row r="1025" spans="1:17">
      <c r="A1025" s="19"/>
      <c r="B1025" s="56" t="s">
        <v>1683</v>
      </c>
      <c r="C1025" s="62">
        <f>1/0.1</f>
        <v>10</v>
      </c>
      <c r="D1025" s="57" t="s">
        <v>21</v>
      </c>
      <c r="E1025" s="61">
        <v>125</v>
      </c>
      <c r="F1025" s="61"/>
      <c r="G1025" s="17">
        <f>+C1025*E1025+C1025*F1025</f>
        <v>1250</v>
      </c>
      <c r="H1025" s="12"/>
    </row>
    <row r="1026" spans="1:17" ht="15.75" thickBot="1">
      <c r="A1026" s="21"/>
      <c r="B1026" s="22"/>
      <c r="C1026" s="23"/>
      <c r="D1026" s="24" t="s">
        <v>111</v>
      </c>
      <c r="E1026" s="78"/>
      <c r="F1026" s="79"/>
      <c r="G1026" s="26">
        <f>SUM(G1024:G1025)</f>
        <v>9031.4000000000015</v>
      </c>
      <c r="H1026" s="27" t="s">
        <v>20</v>
      </c>
    </row>
    <row r="1027" spans="1:17" ht="15.75" thickTop="1">
      <c r="B1027" s="55"/>
    </row>
    <row r="1028" spans="1:17">
      <c r="A1028" s="64"/>
      <c r="B1028" s="370" t="e">
        <f>#REF!</f>
        <v>#REF!</v>
      </c>
      <c r="C1028" s="370"/>
      <c r="D1028" s="370"/>
      <c r="E1028" s="370"/>
      <c r="F1028" s="370"/>
      <c r="G1028" s="370"/>
      <c r="H1028" s="370"/>
      <c r="J1028">
        <v>1.008</v>
      </c>
    </row>
    <row r="1029" spans="1:17">
      <c r="A1029" s="6"/>
      <c r="B1029" s="7"/>
      <c r="C1029" s="8" t="s">
        <v>98</v>
      </c>
      <c r="D1029" s="9" t="s">
        <v>39</v>
      </c>
      <c r="E1029" s="74" t="s">
        <v>99</v>
      </c>
      <c r="F1029" s="75" t="s">
        <v>100</v>
      </c>
      <c r="G1029" s="11" t="s">
        <v>101</v>
      </c>
      <c r="H1029" s="12"/>
      <c r="J1029">
        <f>1.6/0.15</f>
        <v>10.666666666666668</v>
      </c>
      <c r="K1029">
        <v>11</v>
      </c>
      <c r="L1029">
        <v>1.4</v>
      </c>
      <c r="M1029">
        <v>3.2810000000000001</v>
      </c>
      <c r="N1029">
        <v>0.66700000000000004</v>
      </c>
      <c r="O1029">
        <f>+K1029*L1029*M1029*N1029/100</f>
        <v>0.337017758</v>
      </c>
    </row>
    <row r="1030" spans="1:17">
      <c r="A1030" s="19"/>
      <c r="B1030" s="56" t="s">
        <v>1521</v>
      </c>
      <c r="C1030" s="62">
        <v>13</v>
      </c>
      <c r="D1030" s="57" t="s">
        <v>3</v>
      </c>
      <c r="E1030" s="61">
        <f>Materiales!$D$118</f>
        <v>40.677966101694913</v>
      </c>
      <c r="F1030" s="61">
        <f>+E1030*0.18</f>
        <v>7.3220338983050839</v>
      </c>
      <c r="G1030" s="17">
        <f>+C1030*E1030+C1030*F1030</f>
        <v>623.99999999999989</v>
      </c>
      <c r="H1030" s="12"/>
      <c r="O1030">
        <f>SUM(O1029:O1029)</f>
        <v>0.337017758</v>
      </c>
      <c r="P1030">
        <f>+O1030*1.05</f>
        <v>0.3538686459</v>
      </c>
      <c r="Q1030">
        <f>+P1030/J1028</f>
        <v>0.35106016458333333</v>
      </c>
    </row>
    <row r="1031" spans="1:17">
      <c r="A1031" s="19"/>
      <c r="B1031" s="56" t="s">
        <v>1522</v>
      </c>
      <c r="C1031" s="62">
        <v>2.3760000000000003E-2</v>
      </c>
      <c r="D1031" s="57" t="s">
        <v>20</v>
      </c>
      <c r="E1031" s="61">
        <f>'Analisis Auxiliares'!$G$11</f>
        <v>5880</v>
      </c>
      <c r="F1031" s="61"/>
      <c r="G1031" s="17">
        <f>+C1031*E1031+C1031*F1031</f>
        <v>139.70880000000002</v>
      </c>
      <c r="H1031" s="18"/>
    </row>
    <row r="1032" spans="1:17">
      <c r="A1032" s="19"/>
      <c r="B1032" s="56" t="s">
        <v>1523</v>
      </c>
      <c r="C1032" s="62">
        <v>3.1199999999999999E-2</v>
      </c>
      <c r="D1032" s="57" t="s">
        <v>20</v>
      </c>
      <c r="E1032" s="61">
        <f>'Analisis Auxiliares'!$G$44</f>
        <v>6785.5</v>
      </c>
      <c r="F1032" s="61"/>
      <c r="G1032" s="17">
        <f>+C1032*E1032+C1032*F1032</f>
        <v>211.70759999999999</v>
      </c>
      <c r="H1032" s="12"/>
    </row>
    <row r="1033" spans="1:17">
      <c r="A1033" s="19"/>
      <c r="B1033" s="56" t="s">
        <v>1524</v>
      </c>
      <c r="C1033" s="62">
        <v>2.0250000000000001E-2</v>
      </c>
      <c r="D1033" s="57" t="s">
        <v>164</v>
      </c>
      <c r="E1033" s="61">
        <f>Materiales!$D$38</f>
        <v>3305.0847457627119</v>
      </c>
      <c r="F1033" s="61">
        <f t="shared" ref="F1033:F1034" si="105">+E1033*0.18</f>
        <v>594.91525423728808</v>
      </c>
      <c r="G1033" s="17">
        <f t="shared" ref="G1033:G1036" si="106">+C1033*E1033+C1033*F1033</f>
        <v>78.975000000000009</v>
      </c>
      <c r="H1033" s="12"/>
    </row>
    <row r="1034" spans="1:17">
      <c r="A1034" s="19"/>
      <c r="B1034" s="56" t="s">
        <v>1525</v>
      </c>
      <c r="C1034" s="62">
        <v>4.0500000000000001E-2</v>
      </c>
      <c r="D1034" s="57" t="s">
        <v>178</v>
      </c>
      <c r="E1034" s="61">
        <f>110/1.18</f>
        <v>93.220338983050851</v>
      </c>
      <c r="F1034" s="61">
        <f t="shared" si="105"/>
        <v>16.779661016949152</v>
      </c>
      <c r="G1034" s="17">
        <f t="shared" si="106"/>
        <v>4.4550000000000001</v>
      </c>
      <c r="H1034" s="12"/>
    </row>
    <row r="1035" spans="1:17">
      <c r="A1035" s="19"/>
      <c r="B1035" s="56" t="s">
        <v>1526</v>
      </c>
      <c r="C1035" s="62">
        <v>1</v>
      </c>
      <c r="D1035" s="57" t="s">
        <v>9</v>
      </c>
      <c r="E1035" s="61">
        <v>35</v>
      </c>
      <c r="F1035" s="61"/>
      <c r="G1035" s="17">
        <f t="shared" si="106"/>
        <v>35</v>
      </c>
      <c r="H1035" s="12"/>
    </row>
    <row r="1036" spans="1:17">
      <c r="A1036" s="19"/>
      <c r="B1036" s="56" t="s">
        <v>1527</v>
      </c>
      <c r="C1036" s="62">
        <v>13</v>
      </c>
      <c r="D1036" s="57" t="s">
        <v>3</v>
      </c>
      <c r="E1036" s="61">
        <v>19.57</v>
      </c>
      <c r="F1036" s="61"/>
      <c r="G1036" s="17">
        <f t="shared" si="106"/>
        <v>254.41</v>
      </c>
      <c r="H1036" s="12"/>
    </row>
    <row r="1037" spans="1:17" ht="15.75" thickBot="1">
      <c r="A1037" s="21"/>
      <c r="B1037" s="22"/>
      <c r="C1037" s="23"/>
      <c r="D1037" s="24" t="s">
        <v>111</v>
      </c>
      <c r="E1037" s="78"/>
      <c r="F1037" s="79"/>
      <c r="G1037" s="26">
        <f>SUM(G1030:G1036)</f>
        <v>1348.2563999999998</v>
      </c>
      <c r="H1037" s="27" t="s">
        <v>21</v>
      </c>
    </row>
    <row r="1038" spans="1:17" ht="15.75" thickTop="1">
      <c r="B1038" s="55"/>
    </row>
    <row r="1039" spans="1:17">
      <c r="A1039" s="64"/>
      <c r="B1039" s="370" t="e">
        <f>#REF!</f>
        <v>#REF!</v>
      </c>
      <c r="C1039" s="370"/>
      <c r="D1039" s="370"/>
      <c r="E1039" s="370"/>
      <c r="F1039" s="370"/>
      <c r="G1039" s="370"/>
      <c r="H1039" s="370"/>
      <c r="J1039">
        <v>1.008</v>
      </c>
    </row>
    <row r="1040" spans="1:17">
      <c r="A1040" s="6"/>
      <c r="B1040" s="7"/>
      <c r="C1040" s="8" t="s">
        <v>98</v>
      </c>
      <c r="D1040" s="9" t="s">
        <v>39</v>
      </c>
      <c r="E1040" s="74" t="s">
        <v>99</v>
      </c>
      <c r="F1040" s="75" t="s">
        <v>100</v>
      </c>
      <c r="G1040" s="11" t="s">
        <v>101</v>
      </c>
      <c r="H1040" s="12"/>
      <c r="J1040">
        <f>1.6/0.15</f>
        <v>10.666666666666668</v>
      </c>
      <c r="K1040">
        <v>11</v>
      </c>
      <c r="L1040">
        <v>1.4</v>
      </c>
      <c r="M1040">
        <v>3.2810000000000001</v>
      </c>
      <c r="N1040">
        <v>0.66700000000000004</v>
      </c>
      <c r="O1040">
        <f>+K1040*L1040*M1040*N1040/100</f>
        <v>0.337017758</v>
      </c>
    </row>
    <row r="1041" spans="1:17">
      <c r="A1041" s="19"/>
      <c r="B1041" s="56" t="s">
        <v>1521</v>
      </c>
      <c r="C1041" s="62">
        <v>13</v>
      </c>
      <c r="D1041" s="57" t="s">
        <v>3</v>
      </c>
      <c r="E1041" s="61">
        <f>Materiales!$D$118</f>
        <v>40.677966101694913</v>
      </c>
      <c r="F1041" s="61">
        <f>+E1041*0.18</f>
        <v>7.3220338983050839</v>
      </c>
      <c r="G1041" s="17">
        <f>+C1041*E1041+C1041*F1041</f>
        <v>623.99999999999989</v>
      </c>
      <c r="H1041" s="12"/>
      <c r="O1041">
        <f>SUM(O1040:O1040)</f>
        <v>0.337017758</v>
      </c>
      <c r="P1041">
        <f>+O1041*1.05</f>
        <v>0.3538686459</v>
      </c>
      <c r="Q1041">
        <f>+P1041/J1039</f>
        <v>0.35106016458333333</v>
      </c>
    </row>
    <row r="1042" spans="1:17">
      <c r="A1042" s="19"/>
      <c r="B1042" s="56" t="s">
        <v>1522</v>
      </c>
      <c r="C1042" s="62">
        <v>2.3760000000000003E-2</v>
      </c>
      <c r="D1042" s="57" t="s">
        <v>20</v>
      </c>
      <c r="E1042" s="61">
        <f>'Analisis Auxiliares'!$G$11</f>
        <v>5880</v>
      </c>
      <c r="F1042" s="61"/>
      <c r="G1042" s="17">
        <f>+C1042*E1042+C1042*F1042</f>
        <v>139.70880000000002</v>
      </c>
      <c r="H1042" s="18"/>
    </row>
    <row r="1043" spans="1:17">
      <c r="A1043" s="19"/>
      <c r="B1043" s="56" t="s">
        <v>1523</v>
      </c>
      <c r="C1043" s="62">
        <v>3.1199999999999999E-2</v>
      </c>
      <c r="D1043" s="57" t="s">
        <v>20</v>
      </c>
      <c r="E1043" s="61">
        <f>'Analisis Auxiliares'!$G$44</f>
        <v>6785.5</v>
      </c>
      <c r="F1043" s="61"/>
      <c r="G1043" s="17">
        <f>+C1043*E1043+C1043*F1043</f>
        <v>211.70759999999999</v>
      </c>
      <c r="H1043" s="12"/>
    </row>
    <row r="1044" spans="1:17">
      <c r="A1044" s="19"/>
      <c r="B1044" s="56" t="s">
        <v>1524</v>
      </c>
      <c r="C1044" s="62">
        <v>2.0250000000000001E-2</v>
      </c>
      <c r="D1044" s="57" t="s">
        <v>164</v>
      </c>
      <c r="E1044" s="61">
        <f>Materiales!$D$38</f>
        <v>3305.0847457627119</v>
      </c>
      <c r="F1044" s="61">
        <f t="shared" ref="F1044:F1045" si="107">+E1044*0.18</f>
        <v>594.91525423728808</v>
      </c>
      <c r="G1044" s="17">
        <f t="shared" ref="G1044:G1047" si="108">+C1044*E1044+C1044*F1044</f>
        <v>78.975000000000009</v>
      </c>
      <c r="H1044" s="12"/>
    </row>
    <row r="1045" spans="1:17">
      <c r="A1045" s="19"/>
      <c r="B1045" s="56" t="s">
        <v>1525</v>
      </c>
      <c r="C1045" s="62">
        <v>4.0500000000000001E-2</v>
      </c>
      <c r="D1045" s="57" t="s">
        <v>178</v>
      </c>
      <c r="E1045" s="61">
        <f>110/1.18</f>
        <v>93.220338983050851</v>
      </c>
      <c r="F1045" s="61">
        <f t="shared" si="107"/>
        <v>16.779661016949152</v>
      </c>
      <c r="G1045" s="17">
        <f t="shared" si="108"/>
        <v>4.4550000000000001</v>
      </c>
      <c r="H1045" s="12"/>
    </row>
    <row r="1046" spans="1:17">
      <c r="A1046" s="19"/>
      <c r="B1046" s="56" t="s">
        <v>1526</v>
      </c>
      <c r="C1046" s="62">
        <v>0</v>
      </c>
      <c r="D1046" s="57" t="s">
        <v>9</v>
      </c>
      <c r="E1046" s="61">
        <v>35</v>
      </c>
      <c r="F1046" s="61"/>
      <c r="G1046" s="17">
        <f t="shared" si="108"/>
        <v>0</v>
      </c>
      <c r="H1046" s="12"/>
    </row>
    <row r="1047" spans="1:17">
      <c r="A1047" s="19"/>
      <c r="B1047" s="56" t="s">
        <v>1527</v>
      </c>
      <c r="C1047" s="62">
        <v>13</v>
      </c>
      <c r="D1047" s="57" t="s">
        <v>3</v>
      </c>
      <c r="E1047" s="61">
        <v>19.57</v>
      </c>
      <c r="F1047" s="61"/>
      <c r="G1047" s="17">
        <f t="shared" si="108"/>
        <v>254.41</v>
      </c>
      <c r="H1047" s="12"/>
    </row>
    <row r="1048" spans="1:17" ht="15.75" thickBot="1">
      <c r="A1048" s="21"/>
      <c r="B1048" s="22"/>
      <c r="C1048" s="23"/>
      <c r="D1048" s="24" t="s">
        <v>111</v>
      </c>
      <c r="E1048" s="78"/>
      <c r="F1048" s="79"/>
      <c r="G1048" s="26">
        <f>SUM(G1041:G1047)</f>
        <v>1313.2563999999998</v>
      </c>
      <c r="H1048" s="27" t="s">
        <v>21</v>
      </c>
    </row>
    <row r="1049" spans="1:17" ht="15.75" thickTop="1">
      <c r="B1049" s="55"/>
    </row>
    <row r="1050" spans="1:17">
      <c r="A1050" s="64"/>
      <c r="B1050" s="370" t="s">
        <v>61</v>
      </c>
      <c r="C1050" s="370"/>
      <c r="D1050" s="370"/>
      <c r="E1050" s="370"/>
      <c r="F1050" s="370"/>
      <c r="G1050" s="370"/>
      <c r="H1050" s="370"/>
      <c r="J1050">
        <v>1.008</v>
      </c>
    </row>
    <row r="1051" spans="1:17">
      <c r="A1051" s="6"/>
      <c r="B1051" s="7"/>
      <c r="C1051" s="8" t="s">
        <v>98</v>
      </c>
      <c r="D1051" s="9" t="s">
        <v>39</v>
      </c>
      <c r="E1051" s="74" t="s">
        <v>99</v>
      </c>
      <c r="F1051" s="75" t="s">
        <v>100</v>
      </c>
      <c r="G1051" s="11" t="s">
        <v>101</v>
      </c>
      <c r="H1051" s="12"/>
      <c r="J1051">
        <f>1.6/0.15</f>
        <v>10.666666666666668</v>
      </c>
      <c r="K1051">
        <v>11</v>
      </c>
      <c r="L1051">
        <v>1.4</v>
      </c>
      <c r="M1051">
        <v>3.2810000000000001</v>
      </c>
      <c r="N1051">
        <v>0.66700000000000004</v>
      </c>
      <c r="O1051">
        <f>+K1051*L1051*M1051*N1051/100</f>
        <v>0.337017758</v>
      </c>
    </row>
    <row r="1052" spans="1:17">
      <c r="A1052" s="6"/>
      <c r="B1052" s="7"/>
      <c r="C1052" s="8"/>
      <c r="D1052" s="9"/>
      <c r="E1052" s="74"/>
      <c r="F1052" s="75"/>
      <c r="G1052" s="11"/>
      <c r="H1052" s="12"/>
      <c r="J1052">
        <f>1.4/0.15</f>
        <v>9.3333333333333339</v>
      </c>
      <c r="K1052">
        <v>9</v>
      </c>
      <c r="L1052">
        <v>1.6</v>
      </c>
      <c r="M1052">
        <v>3.2810000000000001</v>
      </c>
      <c r="N1052">
        <v>0.66700000000000004</v>
      </c>
      <c r="O1052">
        <f>+K1052*L1052*M1052*N1052/100</f>
        <v>0.31513348800000002</v>
      </c>
    </row>
    <row r="1053" spans="1:17">
      <c r="A1053" s="19"/>
      <c r="B1053" s="56" t="s">
        <v>1528</v>
      </c>
      <c r="C1053" s="62">
        <v>2.3E-3</v>
      </c>
      <c r="D1053" s="57" t="s">
        <v>20</v>
      </c>
      <c r="E1053" s="61">
        <f>'Analisis Auxiliares'!$G$55</f>
        <v>8214.5499999999993</v>
      </c>
      <c r="F1053" s="61"/>
      <c r="G1053" s="17">
        <f>+C1053*E1053+C1053*F1053</f>
        <v>18.893464999999999</v>
      </c>
      <c r="H1053" s="12"/>
      <c r="O1053">
        <f>SUM(O1051:O1052)</f>
        <v>0.65215124600000007</v>
      </c>
      <c r="P1053">
        <f>+O1053*1.05</f>
        <v>0.68475880830000013</v>
      </c>
      <c r="Q1053">
        <f>+P1053/J1050</f>
        <v>0.67932421458333347</v>
      </c>
    </row>
    <row r="1054" spans="1:17">
      <c r="A1054" s="19"/>
      <c r="B1054" s="56" t="s">
        <v>1529</v>
      </c>
      <c r="C1054" s="62">
        <v>0.16669999999999999</v>
      </c>
      <c r="D1054" s="57" t="s">
        <v>190</v>
      </c>
      <c r="E1054" s="61">
        <f>Materiales!$D$64</f>
        <v>101.69491525423729</v>
      </c>
      <c r="F1054" s="61">
        <f>+E1054*0.18</f>
        <v>18.305084745762709</v>
      </c>
      <c r="G1054" s="17">
        <f>+C1054*E1054+C1054*F1054</f>
        <v>20.003999999999998</v>
      </c>
      <c r="H1054" s="18"/>
    </row>
    <row r="1055" spans="1:17">
      <c r="A1055" s="19"/>
      <c r="B1055" s="56" t="s">
        <v>1530</v>
      </c>
      <c r="C1055" s="62">
        <v>1</v>
      </c>
      <c r="D1055" s="57" t="s">
        <v>9</v>
      </c>
      <c r="E1055" s="61">
        <v>37.35</v>
      </c>
      <c r="F1055" s="61"/>
      <c r="G1055" s="17">
        <f>+C1055*E1055+C1055*F1055</f>
        <v>37.35</v>
      </c>
      <c r="H1055" s="12"/>
    </row>
    <row r="1056" spans="1:17" ht="15.75" thickBot="1">
      <c r="A1056" s="21"/>
      <c r="B1056" s="22"/>
      <c r="C1056" s="23"/>
      <c r="D1056" s="24" t="s">
        <v>111</v>
      </c>
      <c r="E1056" s="78"/>
      <c r="F1056" s="79"/>
      <c r="G1056" s="26">
        <f>SUM(G1053:G1055)</f>
        <v>76.247465000000005</v>
      </c>
      <c r="H1056" s="27" t="s">
        <v>21</v>
      </c>
    </row>
    <row r="1057" spans="1:17" ht="15.75" thickTop="1">
      <c r="B1057" s="55"/>
    </row>
    <row r="1058" spans="1:17">
      <c r="A1058" s="64"/>
      <c r="B1058" s="370" t="s">
        <v>62</v>
      </c>
      <c r="C1058" s="370"/>
      <c r="D1058" s="370"/>
      <c r="E1058" s="370"/>
      <c r="F1058" s="370"/>
      <c r="G1058" s="370"/>
      <c r="H1058" s="370"/>
      <c r="J1058">
        <v>1.008</v>
      </c>
    </row>
    <row r="1059" spans="1:17">
      <c r="A1059" s="6"/>
      <c r="B1059" s="7"/>
      <c r="C1059" s="8" t="s">
        <v>98</v>
      </c>
      <c r="D1059" s="9" t="s">
        <v>39</v>
      </c>
      <c r="E1059" s="74" t="s">
        <v>99</v>
      </c>
      <c r="F1059" s="75" t="s">
        <v>100</v>
      </c>
      <c r="G1059" s="11" t="s">
        <v>101</v>
      </c>
      <c r="H1059" s="12"/>
      <c r="J1059">
        <f>1.6/0.15</f>
        <v>10.666666666666668</v>
      </c>
      <c r="K1059">
        <v>11</v>
      </c>
      <c r="L1059">
        <v>1.4</v>
      </c>
      <c r="M1059">
        <v>3.2810000000000001</v>
      </c>
      <c r="N1059">
        <v>0.66700000000000004</v>
      </c>
      <c r="O1059">
        <f>+K1059*L1059*M1059*N1059/100</f>
        <v>0.337017758</v>
      </c>
    </row>
    <row r="1060" spans="1:17">
      <c r="A1060" s="6"/>
      <c r="B1060" s="7"/>
      <c r="C1060" s="8"/>
      <c r="D1060" s="9"/>
      <c r="E1060" s="74"/>
      <c r="F1060" s="75"/>
      <c r="G1060" s="11"/>
      <c r="H1060" s="12"/>
      <c r="J1060">
        <f>1.4/0.15</f>
        <v>9.3333333333333339</v>
      </c>
      <c r="K1060">
        <v>9</v>
      </c>
      <c r="L1060">
        <v>1.6</v>
      </c>
      <c r="M1060">
        <v>3.2810000000000001</v>
      </c>
      <c r="N1060">
        <v>0.66700000000000004</v>
      </c>
      <c r="O1060">
        <f>+K1060*L1060*M1060*N1060/100</f>
        <v>0.31513348800000002</v>
      </c>
    </row>
    <row r="1061" spans="1:17">
      <c r="A1061" s="19"/>
      <c r="B1061" s="56" t="s">
        <v>1528</v>
      </c>
      <c r="C1061" s="62">
        <v>2.1899999999999999E-2</v>
      </c>
      <c r="D1061" s="57" t="s">
        <v>20</v>
      </c>
      <c r="E1061" s="61">
        <f>'Analisis Auxiliares'!$G$55</f>
        <v>8214.5499999999993</v>
      </c>
      <c r="F1061" s="61"/>
      <c r="G1061" s="17">
        <f>+C1061*E1061+C1061*F1061</f>
        <v>179.89864499999999</v>
      </c>
      <c r="H1061" s="12"/>
      <c r="O1061">
        <f>SUM(O1059:O1060)</f>
        <v>0.65215124600000007</v>
      </c>
      <c r="P1061">
        <f>+O1061*1.05</f>
        <v>0.68475880830000013</v>
      </c>
      <c r="Q1061">
        <f>+P1061/J1058</f>
        <v>0.67932421458333347</v>
      </c>
    </row>
    <row r="1062" spans="1:17">
      <c r="A1062" s="19"/>
      <c r="B1062" s="56" t="s">
        <v>1529</v>
      </c>
      <c r="C1062" s="62">
        <v>0.16669999999999999</v>
      </c>
      <c r="D1062" s="57" t="s">
        <v>190</v>
      </c>
      <c r="E1062" s="61">
        <f>Materiales!$D$64</f>
        <v>101.69491525423729</v>
      </c>
      <c r="F1062" s="61">
        <f>+E1062*0.18</f>
        <v>18.305084745762709</v>
      </c>
      <c r="G1062" s="17">
        <f>+C1062*E1062+C1062*F1062</f>
        <v>20.003999999999998</v>
      </c>
      <c r="H1062" s="18"/>
    </row>
    <row r="1063" spans="1:17">
      <c r="A1063" s="19"/>
      <c r="B1063" s="56" t="s">
        <v>1531</v>
      </c>
      <c r="C1063" s="62">
        <v>1</v>
      </c>
      <c r="D1063" s="57" t="s">
        <v>9</v>
      </c>
      <c r="E1063" s="61">
        <v>35</v>
      </c>
      <c r="F1063" s="61"/>
      <c r="G1063" s="17">
        <f>+C1063*E1063+C1063*F1063</f>
        <v>35</v>
      </c>
      <c r="H1063" s="18"/>
    </row>
    <row r="1064" spans="1:17">
      <c r="A1064" s="19"/>
      <c r="B1064" s="56" t="s">
        <v>1533</v>
      </c>
      <c r="C1064" s="62">
        <v>1</v>
      </c>
      <c r="D1064" s="57" t="s">
        <v>9</v>
      </c>
      <c r="E1064" s="61">
        <v>157.1</v>
      </c>
      <c r="F1064" s="61">
        <v>0</v>
      </c>
      <c r="G1064" s="17">
        <f>+C1064*E1064+C1064*F1064</f>
        <v>157.1</v>
      </c>
      <c r="H1064" s="12"/>
    </row>
    <row r="1065" spans="1:17" ht="15.75" thickBot="1">
      <c r="A1065" s="21"/>
      <c r="B1065" s="22"/>
      <c r="C1065" s="23"/>
      <c r="D1065" s="24" t="s">
        <v>111</v>
      </c>
      <c r="E1065" s="78"/>
      <c r="F1065" s="79"/>
      <c r="G1065" s="26">
        <f>SUM(G1061:G1064)</f>
        <v>392.00264499999997</v>
      </c>
      <c r="H1065" s="27" t="s">
        <v>21</v>
      </c>
    </row>
    <row r="1066" spans="1:17" ht="15.75" thickTop="1">
      <c r="B1066" s="55"/>
    </row>
    <row r="1067" spans="1:17">
      <c r="A1067" s="64"/>
      <c r="B1067" s="370" t="s">
        <v>25</v>
      </c>
      <c r="C1067" s="370"/>
      <c r="D1067" s="370"/>
      <c r="E1067" s="370"/>
      <c r="F1067" s="370"/>
      <c r="G1067" s="370"/>
      <c r="H1067" s="370"/>
      <c r="J1067">
        <v>1.008</v>
      </c>
    </row>
    <row r="1068" spans="1:17">
      <c r="A1068" s="6"/>
      <c r="B1068" s="7"/>
      <c r="C1068" s="8" t="s">
        <v>98</v>
      </c>
      <c r="D1068" s="9" t="s">
        <v>39</v>
      </c>
      <c r="E1068" s="74" t="s">
        <v>99</v>
      </c>
      <c r="F1068" s="75" t="s">
        <v>100</v>
      </c>
      <c r="G1068" s="11" t="s">
        <v>101</v>
      </c>
      <c r="H1068" s="12"/>
      <c r="J1068">
        <f>1.6/0.15</f>
        <v>10.666666666666668</v>
      </c>
      <c r="K1068">
        <v>11</v>
      </c>
      <c r="L1068">
        <v>1.4</v>
      </c>
      <c r="M1068">
        <v>3.2810000000000001</v>
      </c>
      <c r="N1068">
        <v>0.66700000000000004</v>
      </c>
      <c r="O1068">
        <f>+K1068*L1068*M1068*N1068/100</f>
        <v>0.337017758</v>
      </c>
    </row>
    <row r="1069" spans="1:17">
      <c r="A1069" s="6"/>
      <c r="B1069" s="7"/>
      <c r="C1069" s="8"/>
      <c r="D1069" s="9"/>
      <c r="E1069" s="74"/>
      <c r="F1069" s="75"/>
      <c r="G1069" s="11"/>
      <c r="H1069" s="12"/>
      <c r="J1069">
        <f>1.4/0.15</f>
        <v>9.3333333333333339</v>
      </c>
      <c r="K1069">
        <v>9</v>
      </c>
      <c r="L1069">
        <v>1.6</v>
      </c>
      <c r="M1069">
        <v>3.2810000000000001</v>
      </c>
      <c r="N1069">
        <v>0.66700000000000004</v>
      </c>
      <c r="O1069">
        <f>+K1069*L1069*M1069*N1069/100</f>
        <v>0.31513348800000002</v>
      </c>
    </row>
    <row r="1070" spans="1:17">
      <c r="A1070" s="19"/>
      <c r="B1070" s="56" t="s">
        <v>1528</v>
      </c>
      <c r="C1070" s="62">
        <v>2.1899999999999999E-2</v>
      </c>
      <c r="D1070" s="57" t="s">
        <v>20</v>
      </c>
      <c r="E1070" s="61">
        <f>'Analisis Auxiliares'!$G$55</f>
        <v>8214.5499999999993</v>
      </c>
      <c r="F1070" s="61"/>
      <c r="G1070" s="17">
        <f>+C1070*E1070+C1070*F1070</f>
        <v>179.89864499999999</v>
      </c>
      <c r="H1070" s="12"/>
      <c r="O1070">
        <f>SUM(O1068:O1069)</f>
        <v>0.65215124600000007</v>
      </c>
      <c r="P1070">
        <f>+O1070*1.05</f>
        <v>0.68475880830000013</v>
      </c>
      <c r="Q1070">
        <f>+P1070/J1067</f>
        <v>0.67932421458333347</v>
      </c>
    </row>
    <row r="1071" spans="1:17">
      <c r="A1071" s="19"/>
      <c r="B1071" s="56" t="s">
        <v>1529</v>
      </c>
      <c r="C1071" s="62">
        <v>0.16669999999999999</v>
      </c>
      <c r="D1071" s="57" t="s">
        <v>190</v>
      </c>
      <c r="E1071" s="61">
        <f>Materiales!$D$64</f>
        <v>101.69491525423729</v>
      </c>
      <c r="F1071" s="61">
        <f>+E1071*0.18</f>
        <v>18.305084745762709</v>
      </c>
      <c r="G1071" s="17">
        <f>+C1071*E1071+C1071*F1071</f>
        <v>20.003999999999998</v>
      </c>
      <c r="H1071" s="18"/>
    </row>
    <row r="1072" spans="1:17">
      <c r="A1072" s="19"/>
      <c r="B1072" s="56" t="s">
        <v>1531</v>
      </c>
      <c r="C1072" s="62">
        <v>1</v>
      </c>
      <c r="D1072" s="57" t="s">
        <v>9</v>
      </c>
      <c r="E1072" s="61">
        <v>35</v>
      </c>
      <c r="F1072" s="61"/>
      <c r="G1072" s="17">
        <f>+C1072*E1072+C1072*F1072</f>
        <v>35</v>
      </c>
      <c r="H1072" s="18"/>
    </row>
    <row r="1073" spans="1:17">
      <c r="A1073" s="19"/>
      <c r="B1073" s="56" t="s">
        <v>1680</v>
      </c>
      <c r="C1073" s="62">
        <v>1</v>
      </c>
      <c r="D1073" s="57" t="s">
        <v>9</v>
      </c>
      <c r="E1073" s="61">
        <v>203.32</v>
      </c>
      <c r="F1073" s="61">
        <v>0</v>
      </c>
      <c r="G1073" s="17">
        <f>+C1073*E1073+C1073*F1073</f>
        <v>203.32</v>
      </c>
      <c r="H1073" s="12"/>
    </row>
    <row r="1074" spans="1:17" ht="15.75" thickBot="1">
      <c r="A1074" s="21"/>
      <c r="B1074" s="22"/>
      <c r="C1074" s="23"/>
      <c r="D1074" s="24" t="s">
        <v>111</v>
      </c>
      <c r="E1074" s="78"/>
      <c r="F1074" s="79"/>
      <c r="G1074" s="26">
        <f>SUM(G1070:G1073)</f>
        <v>438.22264499999994</v>
      </c>
      <c r="H1074" s="27" t="s">
        <v>21</v>
      </c>
    </row>
    <row r="1075" spans="1:17" ht="15.75" thickTop="1">
      <c r="B1075" s="55"/>
    </row>
    <row r="1076" spans="1:17">
      <c r="A1076" s="64"/>
      <c r="B1076" s="370" t="s">
        <v>1850</v>
      </c>
      <c r="C1076" s="370"/>
      <c r="D1076" s="370"/>
      <c r="E1076" s="370"/>
      <c r="F1076" s="370"/>
      <c r="G1076" s="370"/>
      <c r="H1076" s="370"/>
      <c r="J1076">
        <v>1.008</v>
      </c>
    </row>
    <row r="1077" spans="1:17">
      <c r="A1077" s="6"/>
      <c r="B1077" s="7"/>
      <c r="C1077" s="8" t="s">
        <v>98</v>
      </c>
      <c r="D1077" s="9" t="s">
        <v>39</v>
      </c>
      <c r="E1077" s="74" t="s">
        <v>99</v>
      </c>
      <c r="F1077" s="75" t="s">
        <v>100</v>
      </c>
      <c r="G1077" s="11" t="s">
        <v>101</v>
      </c>
      <c r="H1077" s="12"/>
      <c r="J1077">
        <f>1.6/0.15</f>
        <v>10.666666666666668</v>
      </c>
      <c r="K1077">
        <v>11</v>
      </c>
      <c r="L1077">
        <v>1.4</v>
      </c>
      <c r="M1077">
        <v>3.2810000000000001</v>
      </c>
      <c r="N1077">
        <v>0.66700000000000004</v>
      </c>
      <c r="O1077">
        <f>+K1077*L1077*M1077*N1077/100</f>
        <v>0.337017758</v>
      </c>
    </row>
    <row r="1078" spans="1:17">
      <c r="A1078" s="6"/>
      <c r="B1078" s="7"/>
      <c r="C1078" s="8"/>
      <c r="D1078" s="9"/>
      <c r="E1078" s="74"/>
      <c r="F1078" s="75"/>
      <c r="G1078" s="11"/>
      <c r="H1078" s="12"/>
      <c r="J1078">
        <f>1.4/0.15</f>
        <v>9.3333333333333339</v>
      </c>
      <c r="K1078">
        <v>9</v>
      </c>
      <c r="L1078">
        <v>1.6</v>
      </c>
      <c r="M1078">
        <v>3.2810000000000001</v>
      </c>
      <c r="N1078">
        <v>0.66700000000000004</v>
      </c>
      <c r="O1078">
        <f>+K1078*L1078*M1078*N1078/100</f>
        <v>0.31513348800000002</v>
      </c>
    </row>
    <row r="1079" spans="1:17">
      <c r="A1079" s="19"/>
      <c r="B1079" s="56" t="s">
        <v>1535</v>
      </c>
      <c r="C1079" s="65">
        <v>2.5000000000000001E-3</v>
      </c>
      <c r="D1079" s="57" t="s">
        <v>20</v>
      </c>
      <c r="E1079" s="61">
        <f>'Analisis Auxiliares'!$G$55</f>
        <v>8214.5499999999993</v>
      </c>
      <c r="F1079" s="61"/>
      <c r="G1079" s="17">
        <f>+C1079*E1079+C1079*F1079</f>
        <v>20.536375</v>
      </c>
      <c r="H1079" s="12"/>
      <c r="O1079">
        <f>SUM(O1077:O1078)</f>
        <v>0.65215124600000007</v>
      </c>
      <c r="P1079">
        <f>+O1079*1.05</f>
        <v>0.68475880830000013</v>
      </c>
      <c r="Q1079">
        <f>+P1079/J1076</f>
        <v>0.67932421458333347</v>
      </c>
    </row>
    <row r="1080" spans="1:17">
      <c r="A1080" s="19"/>
      <c r="B1080" s="56" t="s">
        <v>1536</v>
      </c>
      <c r="C1080" s="62">
        <v>0.33329999999999999</v>
      </c>
      <c r="D1080" s="57" t="s">
        <v>190</v>
      </c>
      <c r="E1080" s="61">
        <f>Materiales!$D$64</f>
        <v>101.69491525423729</v>
      </c>
      <c r="F1080" s="61">
        <f>+E1080*0.18</f>
        <v>18.305084745762709</v>
      </c>
      <c r="G1080" s="17">
        <f>+C1080*E1080+C1080*F1080</f>
        <v>39.995999999999995</v>
      </c>
      <c r="H1080" s="18"/>
    </row>
    <row r="1081" spans="1:17">
      <c r="A1081" s="19"/>
      <c r="B1081" s="56" t="s">
        <v>1537</v>
      </c>
      <c r="C1081" s="62">
        <v>1</v>
      </c>
      <c r="D1081" s="57" t="s">
        <v>14</v>
      </c>
      <c r="E1081" s="61">
        <v>68.430000000000007</v>
      </c>
      <c r="F1081" s="61">
        <v>0</v>
      </c>
      <c r="G1081" s="17">
        <f>+C1081*E1081+C1081*F1081</f>
        <v>68.430000000000007</v>
      </c>
      <c r="H1081" s="12"/>
    </row>
    <row r="1082" spans="1:17" ht="15.75" thickBot="1">
      <c r="A1082" s="21"/>
      <c r="B1082" s="22"/>
      <c r="C1082" s="23"/>
      <c r="D1082" s="24" t="s">
        <v>111</v>
      </c>
      <c r="E1082" s="78"/>
      <c r="F1082" s="79"/>
      <c r="G1082" s="26">
        <f>SUM(G1079:G1081)</f>
        <v>128.96237500000001</v>
      </c>
      <c r="H1082" s="27" t="s">
        <v>43</v>
      </c>
    </row>
    <row r="1083" spans="1:17" ht="15.75" thickTop="1">
      <c r="B1083" s="55"/>
    </row>
    <row r="1084" spans="1:17">
      <c r="A1084" s="4"/>
      <c r="B1084" s="370" t="s">
        <v>65</v>
      </c>
      <c r="C1084" s="370"/>
      <c r="D1084" s="370"/>
      <c r="E1084" s="370"/>
      <c r="F1084" s="370"/>
      <c r="G1084" s="370"/>
      <c r="H1084" s="370"/>
    </row>
    <row r="1085" spans="1:17">
      <c r="A1085" s="6"/>
      <c r="B1085" s="7"/>
      <c r="C1085" s="8" t="s">
        <v>98</v>
      </c>
      <c r="D1085" s="9" t="s">
        <v>39</v>
      </c>
      <c r="E1085" s="74" t="s">
        <v>99</v>
      </c>
      <c r="F1085" s="75" t="s">
        <v>100</v>
      </c>
      <c r="G1085" s="11" t="s">
        <v>101</v>
      </c>
      <c r="H1085" s="12"/>
    </row>
    <row r="1086" spans="1:17">
      <c r="A1086" s="19"/>
      <c r="B1086" s="56" t="s">
        <v>1562</v>
      </c>
      <c r="C1086" s="62">
        <f>0.05*1.1</f>
        <v>5.5000000000000007E-2</v>
      </c>
      <c r="D1086" s="57" t="s">
        <v>20</v>
      </c>
      <c r="E1086" s="61">
        <f>'Analisis Auxiliares'!$G$44</f>
        <v>6785.5</v>
      </c>
      <c r="F1086" s="61"/>
      <c r="G1086" s="17">
        <f>+C1086*E1086+C1086*F1086</f>
        <v>373.20250000000004</v>
      </c>
      <c r="H1086" s="12"/>
    </row>
    <row r="1087" spans="1:17">
      <c r="A1087" s="19"/>
      <c r="B1087" s="56" t="s">
        <v>1563</v>
      </c>
      <c r="C1087" s="62">
        <v>0.33329999999999999</v>
      </c>
      <c r="D1087" s="57" t="s">
        <v>190</v>
      </c>
      <c r="E1087" s="61">
        <f>Materiales!$D$64</f>
        <v>101.69491525423729</v>
      </c>
      <c r="F1087" s="61">
        <f>+E1087*0.18</f>
        <v>18.305084745762709</v>
      </c>
      <c r="G1087" s="17">
        <f t="shared" ref="G1087:G1089" si="109">+C1087*E1087+C1087*F1087</f>
        <v>39.995999999999995</v>
      </c>
      <c r="H1087" s="12"/>
    </row>
    <row r="1088" spans="1:17">
      <c r="A1088" s="19"/>
      <c r="B1088" s="56" t="s">
        <v>1564</v>
      </c>
      <c r="C1088" s="62">
        <v>1</v>
      </c>
      <c r="D1088" s="57" t="s">
        <v>9</v>
      </c>
      <c r="E1088" s="61">
        <v>136.5</v>
      </c>
      <c r="F1088" s="61"/>
      <c r="G1088" s="17">
        <f t="shared" si="109"/>
        <v>136.5</v>
      </c>
      <c r="H1088" s="12"/>
    </row>
    <row r="1089" spans="1:17">
      <c r="A1089" s="19"/>
      <c r="B1089" s="56" t="s">
        <v>1561</v>
      </c>
      <c r="C1089" s="62">
        <v>0.1</v>
      </c>
      <c r="D1089" s="57" t="s">
        <v>290</v>
      </c>
      <c r="E1089" s="61">
        <v>847</v>
      </c>
      <c r="F1089" s="61"/>
      <c r="G1089" s="17">
        <f t="shared" si="109"/>
        <v>84.7</v>
      </c>
      <c r="H1089" s="12"/>
    </row>
    <row r="1090" spans="1:17" ht="15.75" thickBot="1">
      <c r="A1090" s="21"/>
      <c r="B1090" s="22"/>
      <c r="C1090" s="23"/>
      <c r="D1090" s="24" t="s">
        <v>111</v>
      </c>
      <c r="E1090" s="78"/>
      <c r="F1090" s="79"/>
      <c r="G1090" s="26">
        <f>SUM(G1086:G1089)</f>
        <v>634.39850000000001</v>
      </c>
      <c r="H1090" s="27" t="s">
        <v>21</v>
      </c>
    </row>
    <row r="1091" spans="1:17" ht="15.75" thickTop="1">
      <c r="B1091" s="55"/>
    </row>
    <row r="1092" spans="1:17">
      <c r="A1092" s="4"/>
      <c r="B1092" s="370" t="s">
        <v>66</v>
      </c>
      <c r="C1092" s="370"/>
      <c r="D1092" s="370"/>
      <c r="E1092" s="370"/>
      <c r="F1092" s="370"/>
      <c r="G1092" s="370"/>
      <c r="H1092" s="370"/>
    </row>
    <row r="1093" spans="1:17">
      <c r="A1093" s="6"/>
      <c r="B1093" s="7"/>
      <c r="C1093" s="8" t="s">
        <v>98</v>
      </c>
      <c r="D1093" s="9" t="s">
        <v>39</v>
      </c>
      <c r="E1093" s="74" t="s">
        <v>99</v>
      </c>
      <c r="F1093" s="75" t="s">
        <v>100</v>
      </c>
      <c r="G1093" s="11" t="s">
        <v>101</v>
      </c>
      <c r="H1093" s="12"/>
    </row>
    <row r="1094" spans="1:17">
      <c r="A1094" s="19"/>
      <c r="B1094" s="60" t="str">
        <f>+B1092</f>
        <v>Impermeabilizante 3mm lona asfáltica</v>
      </c>
      <c r="C1094" s="62">
        <v>1</v>
      </c>
      <c r="D1094" s="57" t="s">
        <v>21</v>
      </c>
      <c r="E1094" s="61">
        <f>Materiales!$D$241</f>
        <v>483.05084745762713</v>
      </c>
      <c r="F1094" s="61">
        <f>+E1094*0.18</f>
        <v>86.949152542372886</v>
      </c>
      <c r="G1094" s="17">
        <f>+C1094*E1094+C1094*F1094</f>
        <v>570</v>
      </c>
      <c r="H1094" s="12"/>
    </row>
    <row r="1095" spans="1:17" ht="15.75" thickBot="1">
      <c r="A1095" s="21"/>
      <c r="B1095" s="22"/>
      <c r="C1095" s="23"/>
      <c r="D1095" s="24" t="s">
        <v>111</v>
      </c>
      <c r="E1095" s="78"/>
      <c r="F1095" s="79"/>
      <c r="G1095" s="26">
        <f>SUM(G1094:G1094)</f>
        <v>570</v>
      </c>
      <c r="H1095" s="27" t="s">
        <v>21</v>
      </c>
    </row>
    <row r="1096" spans="1:17" ht="15.75" thickTop="1">
      <c r="B1096" s="55"/>
    </row>
    <row r="1097" spans="1:17">
      <c r="A1097" s="64"/>
      <c r="B1097" s="370" t="s">
        <v>68</v>
      </c>
      <c r="C1097" s="370"/>
      <c r="D1097" s="370"/>
      <c r="E1097" s="370"/>
      <c r="F1097" s="370"/>
      <c r="G1097" s="370"/>
      <c r="H1097" s="370"/>
      <c r="J1097">
        <v>1.008</v>
      </c>
    </row>
    <row r="1098" spans="1:17">
      <c r="A1098" s="6"/>
      <c r="B1098" s="7"/>
      <c r="C1098" s="8" t="s">
        <v>98</v>
      </c>
      <c r="D1098" s="9" t="s">
        <v>39</v>
      </c>
      <c r="E1098" s="74" t="s">
        <v>99</v>
      </c>
      <c r="F1098" s="75" t="s">
        <v>100</v>
      </c>
      <c r="G1098" s="11" t="s">
        <v>101</v>
      </c>
      <c r="H1098" s="12"/>
      <c r="J1098">
        <f>1.6/0.15</f>
        <v>10.666666666666668</v>
      </c>
      <c r="K1098">
        <v>11</v>
      </c>
      <c r="L1098">
        <v>1.4</v>
      </c>
      <c r="M1098">
        <v>3.2810000000000001</v>
      </c>
      <c r="N1098">
        <v>0.66700000000000004</v>
      </c>
      <c r="O1098">
        <f>+K1098*L1098*M1098*N1098/100</f>
        <v>0.337017758</v>
      </c>
    </row>
    <row r="1099" spans="1:17">
      <c r="A1099" s="19"/>
      <c r="B1099" s="56" t="s">
        <v>1538</v>
      </c>
      <c r="C1099" s="62">
        <v>0.08</v>
      </c>
      <c r="D1099" s="57" t="s">
        <v>153</v>
      </c>
      <c r="E1099" s="61">
        <f>950/1.18</f>
        <v>805.08474576271192</v>
      </c>
      <c r="F1099" s="61">
        <f>+E1099*0.18</f>
        <v>144.91525423728814</v>
      </c>
      <c r="G1099" s="17">
        <f t="shared" ref="G1099:G1101" si="110">+C1099*E1099+C1099*F1099</f>
        <v>76</v>
      </c>
      <c r="H1099" s="12"/>
      <c r="O1099">
        <f>SUM(O1098:O1098)</f>
        <v>0.337017758</v>
      </c>
      <c r="P1099">
        <f>+O1099*1.05</f>
        <v>0.3538686459</v>
      </c>
      <c r="Q1099">
        <f>+P1099/J1097</f>
        <v>0.35106016458333333</v>
      </c>
    </row>
    <row r="1100" spans="1:17">
      <c r="A1100" s="19"/>
      <c r="B1100" s="56" t="s">
        <v>1539</v>
      </c>
      <c r="C1100" s="62">
        <v>1</v>
      </c>
      <c r="D1100" s="57" t="s">
        <v>9</v>
      </c>
      <c r="E1100" s="61">
        <v>54.26</v>
      </c>
      <c r="F1100" s="61"/>
      <c r="G1100" s="17">
        <f t="shared" si="110"/>
        <v>54.26</v>
      </c>
      <c r="H1100" s="18"/>
    </row>
    <row r="1101" spans="1:17">
      <c r="A1101" s="19"/>
      <c r="B1101" s="56" t="s">
        <v>1540</v>
      </c>
      <c r="C1101" s="62">
        <v>0.2</v>
      </c>
      <c r="D1101" s="57" t="s">
        <v>47</v>
      </c>
      <c r="E1101" s="61">
        <f>SUM(G1099:G1100)</f>
        <v>130.26</v>
      </c>
      <c r="F1101" s="61"/>
      <c r="G1101" s="17">
        <f t="shared" si="110"/>
        <v>26.052</v>
      </c>
      <c r="H1101" s="18"/>
    </row>
    <row r="1102" spans="1:17" ht="15.75" thickBot="1">
      <c r="A1102" s="21"/>
      <c r="B1102" s="22"/>
      <c r="C1102" s="23"/>
      <c r="D1102" s="24" t="s">
        <v>111</v>
      </c>
      <c r="E1102" s="78"/>
      <c r="F1102" s="79"/>
      <c r="G1102" s="26">
        <f>SUM(G1099:G1101)</f>
        <v>156.31199999999998</v>
      </c>
      <c r="H1102" s="27" t="s">
        <v>21</v>
      </c>
    </row>
    <row r="1103" spans="1:17" ht="15.75" thickTop="1">
      <c r="B1103" s="55"/>
    </row>
    <row r="1104" spans="1:17">
      <c r="A1104" s="64"/>
      <c r="B1104" s="370" t="s">
        <v>35</v>
      </c>
      <c r="C1104" s="370"/>
      <c r="D1104" s="370"/>
      <c r="E1104" s="370"/>
      <c r="F1104" s="370"/>
      <c r="G1104" s="370"/>
      <c r="H1104" s="370"/>
      <c r="J1104">
        <v>1.008</v>
      </c>
    </row>
    <row r="1105" spans="1:17">
      <c r="A1105" s="6"/>
      <c r="B1105" s="7"/>
      <c r="C1105" s="8" t="s">
        <v>98</v>
      </c>
      <c r="D1105" s="9" t="s">
        <v>39</v>
      </c>
      <c r="E1105" s="74" t="s">
        <v>99</v>
      </c>
      <c r="F1105" s="75" t="s">
        <v>100</v>
      </c>
      <c r="G1105" s="11" t="s">
        <v>101</v>
      </c>
      <c r="H1105" s="12"/>
      <c r="J1105">
        <f>1.6/0.15</f>
        <v>10.666666666666668</v>
      </c>
      <c r="K1105">
        <v>11</v>
      </c>
      <c r="L1105">
        <v>1.4</v>
      </c>
      <c r="M1105">
        <v>3.2810000000000001</v>
      </c>
      <c r="N1105">
        <v>0.66700000000000004</v>
      </c>
      <c r="O1105">
        <f>+K1105*L1105*M1105*N1105/100</f>
        <v>0.337017758</v>
      </c>
    </row>
    <row r="1106" spans="1:17">
      <c r="A1106" s="19"/>
      <c r="B1106" s="56" t="s">
        <v>1538</v>
      </c>
      <c r="C1106" s="62">
        <v>0.08</v>
      </c>
      <c r="D1106" s="57" t="s">
        <v>153</v>
      </c>
      <c r="E1106" s="61">
        <f>500/1.18</f>
        <v>423.72881355932208</v>
      </c>
      <c r="F1106" s="61">
        <f>+E1106*0.18</f>
        <v>76.271186440677965</v>
      </c>
      <c r="G1106" s="17">
        <f t="shared" ref="G1106:G1107" si="111">+C1106*E1106+C1106*F1106</f>
        <v>40</v>
      </c>
      <c r="H1106" s="12"/>
      <c r="O1106">
        <f>SUM(O1105:O1105)</f>
        <v>0.337017758</v>
      </c>
      <c r="P1106">
        <f>+O1106*1.05</f>
        <v>0.3538686459</v>
      </c>
      <c r="Q1106">
        <f>+P1106/J1104</f>
        <v>0.35106016458333333</v>
      </c>
    </row>
    <row r="1107" spans="1:17">
      <c r="A1107" s="19"/>
      <c r="B1107" s="56" t="s">
        <v>1539</v>
      </c>
      <c r="C1107" s="62">
        <v>1</v>
      </c>
      <c r="D1107" s="57" t="s">
        <v>9</v>
      </c>
      <c r="E1107" s="61">
        <v>35</v>
      </c>
      <c r="F1107" s="61"/>
      <c r="G1107" s="17">
        <f t="shared" si="111"/>
        <v>35</v>
      </c>
      <c r="H1107" s="18"/>
    </row>
    <row r="1108" spans="1:17" ht="15.75" thickBot="1">
      <c r="A1108" s="21"/>
      <c r="B1108" s="22"/>
      <c r="C1108" s="23"/>
      <c r="D1108" s="24" t="s">
        <v>111</v>
      </c>
      <c r="E1108" s="78"/>
      <c r="F1108" s="79"/>
      <c r="G1108" s="26">
        <f>SUM(G1106:G1107)</f>
        <v>75</v>
      </c>
      <c r="H1108" s="27" t="s">
        <v>21</v>
      </c>
    </row>
    <row r="1109" spans="1:17" ht="15.75" thickTop="1">
      <c r="B1109" s="55"/>
    </row>
    <row r="1110" spans="1:17">
      <c r="A1110" s="64"/>
      <c r="B1110" s="370" t="s">
        <v>69</v>
      </c>
      <c r="C1110" s="370"/>
      <c r="D1110" s="370"/>
      <c r="E1110" s="370"/>
      <c r="F1110" s="370"/>
      <c r="G1110" s="370"/>
      <c r="H1110" s="370"/>
      <c r="J1110">
        <v>1.008</v>
      </c>
    </row>
    <row r="1111" spans="1:17">
      <c r="A1111" s="6"/>
      <c r="B1111" s="7"/>
      <c r="C1111" s="8" t="s">
        <v>98</v>
      </c>
      <c r="D1111" s="9" t="s">
        <v>39</v>
      </c>
      <c r="E1111" s="74" t="s">
        <v>99</v>
      </c>
      <c r="F1111" s="75" t="s">
        <v>100</v>
      </c>
      <c r="G1111" s="11" t="s">
        <v>101</v>
      </c>
      <c r="H1111" s="12"/>
      <c r="J1111">
        <f>1.6/0.15</f>
        <v>10.666666666666668</v>
      </c>
      <c r="K1111">
        <v>11</v>
      </c>
      <c r="L1111">
        <v>1.4</v>
      </c>
      <c r="M1111">
        <v>3.2810000000000001</v>
      </c>
      <c r="N1111">
        <v>0.66700000000000004</v>
      </c>
      <c r="O1111">
        <f>+K1111*L1111*M1111*N1111/100</f>
        <v>0.337017758</v>
      </c>
    </row>
    <row r="1112" spans="1:17">
      <c r="A1112" s="19"/>
      <c r="B1112" s="56" t="s">
        <v>1684</v>
      </c>
      <c r="C1112" s="62">
        <v>1</v>
      </c>
      <c r="D1112" s="57" t="s">
        <v>40</v>
      </c>
      <c r="E1112" s="61">
        <f>+G1231</f>
        <v>1440.0162475000002</v>
      </c>
      <c r="F1112" s="61"/>
      <c r="G1112" s="17">
        <f t="shared" ref="G1112:G1114" si="112">+C1112*E1112+C1112*F1112</f>
        <v>1440.0162475000002</v>
      </c>
      <c r="H1112" s="12"/>
      <c r="O1112">
        <f>SUM(O1111:O1111)</f>
        <v>0.337017758</v>
      </c>
      <c r="P1112">
        <f>+O1112*1.05</f>
        <v>0.3538686459</v>
      </c>
      <c r="Q1112">
        <f>+P1112/J1110</f>
        <v>0.35106016458333333</v>
      </c>
    </row>
    <row r="1113" spans="1:17">
      <c r="A1113" s="19"/>
      <c r="B1113" s="56" t="s">
        <v>1685</v>
      </c>
      <c r="C1113" s="62">
        <v>1</v>
      </c>
      <c r="D1113" s="57" t="s">
        <v>40</v>
      </c>
      <c r="E1113" s="61">
        <f>+G1290</f>
        <v>1438.3928475</v>
      </c>
      <c r="F1113" s="61"/>
      <c r="G1113" s="17">
        <f t="shared" si="112"/>
        <v>1438.3928475</v>
      </c>
      <c r="H1113" s="18"/>
    </row>
    <row r="1114" spans="1:17">
      <c r="A1114" s="19"/>
      <c r="B1114" s="56" t="s">
        <v>1686</v>
      </c>
      <c r="C1114" s="62">
        <v>1</v>
      </c>
      <c r="D1114" s="57" t="s">
        <v>1687</v>
      </c>
      <c r="E1114" s="61">
        <f>+G1315</f>
        <v>1682.9415675000002</v>
      </c>
      <c r="F1114" s="61"/>
      <c r="G1114" s="17">
        <f t="shared" si="112"/>
        <v>1682.9415675000002</v>
      </c>
      <c r="H1114" s="18"/>
    </row>
    <row r="1115" spans="1:17" ht="15.75" thickBot="1">
      <c r="A1115" s="21"/>
      <c r="B1115" s="22"/>
      <c r="C1115" s="23"/>
      <c r="D1115" s="24" t="s">
        <v>111</v>
      </c>
      <c r="E1115" s="78"/>
      <c r="F1115" s="79"/>
      <c r="G1115" s="26">
        <f>SUM(G1112:G1114)</f>
        <v>4561.3506625</v>
      </c>
      <c r="H1115" s="27" t="s">
        <v>74</v>
      </c>
    </row>
    <row r="1116" spans="1:17" ht="15.75" thickTop="1">
      <c r="B1116" s="55"/>
    </row>
    <row r="1117" spans="1:17">
      <c r="A1117" s="64"/>
      <c r="B1117" s="370" t="s">
        <v>70</v>
      </c>
      <c r="C1117" s="370"/>
      <c r="D1117" s="370"/>
      <c r="E1117" s="370"/>
      <c r="F1117" s="370"/>
      <c r="G1117" s="370"/>
      <c r="H1117" s="370"/>
      <c r="J1117">
        <v>4.0000000000000008E-2</v>
      </c>
      <c r="K1117">
        <v>25</v>
      </c>
      <c r="L1117">
        <v>0</v>
      </c>
      <c r="M1117">
        <v>3.2810000000000001</v>
      </c>
      <c r="N1117">
        <v>0.66700000000000004</v>
      </c>
      <c r="O1117">
        <v>0</v>
      </c>
    </row>
    <row r="1118" spans="1:17">
      <c r="A1118" s="6"/>
      <c r="B1118" s="7"/>
      <c r="C1118" s="8" t="s">
        <v>98</v>
      </c>
      <c r="D1118" s="9" t="s">
        <v>39</v>
      </c>
      <c r="E1118" s="74" t="s">
        <v>99</v>
      </c>
      <c r="F1118" s="75" t="s">
        <v>100</v>
      </c>
      <c r="G1118" s="11" t="s">
        <v>101</v>
      </c>
      <c r="H1118" s="12"/>
      <c r="J1118">
        <f>1/J1117</f>
        <v>24.999999999999996</v>
      </c>
      <c r="K1118">
        <v>25</v>
      </c>
      <c r="L1118">
        <v>5</v>
      </c>
      <c r="M1118">
        <v>3.2810000000000001</v>
      </c>
      <c r="N1118">
        <v>0.378</v>
      </c>
      <c r="O1118">
        <f>+K1118*L1118*M1118*N1118/100</f>
        <v>1.5502725000000002</v>
      </c>
    </row>
    <row r="1119" spans="1:17">
      <c r="A1119" s="19"/>
      <c r="B1119" s="60" t="str">
        <f>+B1117</f>
        <v>Accesorios (válvula, flota, cheque, etc.)</v>
      </c>
      <c r="C1119" s="62">
        <v>1</v>
      </c>
      <c r="D1119" s="57" t="s">
        <v>1491</v>
      </c>
      <c r="E1119" s="61">
        <f>2000/1.18</f>
        <v>1694.9152542372883</v>
      </c>
      <c r="F1119" s="61">
        <f>+E1119*0.18</f>
        <v>305.08474576271186</v>
      </c>
      <c r="G1119" s="17">
        <f>+C1119*E1119+C1119*F1119</f>
        <v>2000.0000000000002</v>
      </c>
      <c r="H1119" s="12"/>
      <c r="J1119">
        <f>+K1118/0.25</f>
        <v>100</v>
      </c>
      <c r="K1119">
        <v>100</v>
      </c>
      <c r="L1119">
        <f>0.2*4</f>
        <v>0.8</v>
      </c>
      <c r="M1119">
        <v>3.2810000000000001</v>
      </c>
      <c r="N1119">
        <v>0.378</v>
      </c>
      <c r="O1119">
        <f>+K1119*L1119*M1119*N1119/100</f>
        <v>0.99217440000000012</v>
      </c>
      <c r="P1119">
        <f>+O1119*1.05</f>
        <v>1.0417831200000001</v>
      </c>
      <c r="Q1119">
        <f>+P1119/J1117</f>
        <v>26.044577999999998</v>
      </c>
    </row>
    <row r="1120" spans="1:17" ht="15.75" thickBot="1">
      <c r="A1120" s="21"/>
      <c r="B1120" s="22"/>
      <c r="C1120" s="23"/>
      <c r="D1120" s="24" t="s">
        <v>111</v>
      </c>
      <c r="E1120" s="78"/>
      <c r="F1120" s="79"/>
      <c r="G1120" s="26">
        <f>SUM(G1119:G1119)</f>
        <v>2000.0000000000002</v>
      </c>
      <c r="H1120" s="27" t="s">
        <v>1491</v>
      </c>
      <c r="O1120" t="e">
        <f>SUM(#REF!)</f>
        <v>#REF!</v>
      </c>
      <c r="P1120" t="e">
        <f>+O1120*1.05</f>
        <v>#REF!</v>
      </c>
    </row>
    <row r="1121" spans="1:17" ht="15.75" thickTop="1">
      <c r="B1121" s="55"/>
    </row>
    <row r="1122" spans="1:17">
      <c r="A1122" s="64"/>
      <c r="B1122" s="370" t="s">
        <v>71</v>
      </c>
      <c r="C1122" s="370"/>
      <c r="D1122" s="370"/>
      <c r="E1122" s="370"/>
      <c r="F1122" s="370"/>
      <c r="G1122" s="370"/>
      <c r="H1122" s="370"/>
      <c r="J1122">
        <v>4.0000000000000008E-2</v>
      </c>
      <c r="K1122">
        <v>25</v>
      </c>
      <c r="L1122">
        <v>0</v>
      </c>
      <c r="M1122">
        <v>3.2810000000000001</v>
      </c>
      <c r="N1122">
        <v>0.66700000000000004</v>
      </c>
      <c r="O1122">
        <v>0</v>
      </c>
    </row>
    <row r="1123" spans="1:17">
      <c r="A1123" s="6"/>
      <c r="B1123" s="7"/>
      <c r="C1123" s="8" t="s">
        <v>98</v>
      </c>
      <c r="D1123" s="9" t="s">
        <v>39</v>
      </c>
      <c r="E1123" s="74" t="s">
        <v>99</v>
      </c>
      <c r="F1123" s="75" t="s">
        <v>100</v>
      </c>
      <c r="G1123" s="11" t="s">
        <v>101</v>
      </c>
      <c r="H1123" s="12"/>
      <c r="J1123">
        <f>1/J1122</f>
        <v>24.999999999999996</v>
      </c>
      <c r="K1123">
        <v>25</v>
      </c>
      <c r="L1123">
        <v>5</v>
      </c>
      <c r="M1123">
        <v>3.2810000000000001</v>
      </c>
      <c r="N1123">
        <v>0.378</v>
      </c>
      <c r="O1123">
        <f>+K1123*L1123*M1123*N1123/100</f>
        <v>1.5502725000000002</v>
      </c>
    </row>
    <row r="1124" spans="1:17">
      <c r="A1124" s="19"/>
      <c r="B1124" s="60" t="str">
        <f>+B1122</f>
        <v>Puerta en Hierro (0.8x 1.90 )</v>
      </c>
      <c r="C1124" s="62">
        <v>1</v>
      </c>
      <c r="D1124" s="57" t="s">
        <v>1567</v>
      </c>
      <c r="E1124" s="61">
        <f>15000/16.35/1.18</f>
        <v>777.48406157673764</v>
      </c>
      <c r="F1124" s="61">
        <f>+E1124*0.18</f>
        <v>139.94713108381276</v>
      </c>
      <c r="G1124" s="17">
        <f>+C1124*E1124+C1124*F1124</f>
        <v>917.43119266055044</v>
      </c>
      <c r="H1124" s="12"/>
      <c r="J1124">
        <f>+K1123/0.25</f>
        <v>100</v>
      </c>
      <c r="K1124">
        <v>100</v>
      </c>
      <c r="L1124">
        <f>0.2*4</f>
        <v>0.8</v>
      </c>
      <c r="M1124">
        <v>3.2810000000000001</v>
      </c>
      <c r="N1124">
        <v>0.378</v>
      </c>
      <c r="O1124">
        <f>+K1124*L1124*M1124*N1124/100</f>
        <v>0.99217440000000012</v>
      </c>
      <c r="P1124">
        <f>+O1124*1.05</f>
        <v>1.0417831200000001</v>
      </c>
      <c r="Q1124">
        <f>+P1124/J1122</f>
        <v>26.044577999999998</v>
      </c>
    </row>
    <row r="1125" spans="1:17" ht="15.75" thickBot="1">
      <c r="A1125" s="21"/>
      <c r="B1125" s="22"/>
      <c r="C1125" s="23"/>
      <c r="D1125" s="24" t="s">
        <v>111</v>
      </c>
      <c r="E1125" s="78"/>
      <c r="F1125" s="79"/>
      <c r="G1125" s="26">
        <f>SUM(G1124:G1124)</f>
        <v>917.43119266055044</v>
      </c>
      <c r="H1125" s="27" t="s">
        <v>1567</v>
      </c>
      <c r="O1125" t="e">
        <f>SUM(#REF!)</f>
        <v>#REF!</v>
      </c>
      <c r="P1125" t="e">
        <f>+O1125*1.05</f>
        <v>#REF!</v>
      </c>
    </row>
    <row r="1126" spans="1:17" ht="15.75" thickTop="1"/>
    <row r="1127" spans="1:17">
      <c r="A1127" s="53"/>
      <c r="B1127" s="53" t="e">
        <f>#REF!</f>
        <v>#REF!</v>
      </c>
      <c r="C1127" s="54"/>
      <c r="D1127" s="54"/>
      <c r="E1127" s="72"/>
      <c r="F1127" s="72"/>
      <c r="G1127" s="54"/>
      <c r="H1127" s="54"/>
    </row>
    <row r="1129" spans="1:17" ht="27.75" customHeight="1">
      <c r="A1129" s="64"/>
      <c r="B1129" s="370" t="e">
        <f>#REF!</f>
        <v>#REF!</v>
      </c>
      <c r="C1129" s="370"/>
      <c r="D1129" s="370"/>
      <c r="E1129" s="370"/>
      <c r="F1129" s="370"/>
      <c r="G1129" s="370"/>
      <c r="H1129" s="370"/>
      <c r="J1129">
        <v>3.7499999999999999E-2</v>
      </c>
      <c r="K1129">
        <v>26.666666666666668</v>
      </c>
    </row>
    <row r="1130" spans="1:17">
      <c r="A1130" s="6"/>
      <c r="B1130" s="7"/>
      <c r="C1130" s="8" t="s">
        <v>98</v>
      </c>
      <c r="D1130" s="9" t="s">
        <v>39</v>
      </c>
      <c r="E1130" s="74" t="s">
        <v>99</v>
      </c>
      <c r="F1130" s="75" t="s">
        <v>100</v>
      </c>
      <c r="G1130" s="11" t="s">
        <v>101</v>
      </c>
      <c r="H1130" s="12"/>
      <c r="J1130">
        <f>1.6/0.15</f>
        <v>10.666666666666668</v>
      </c>
      <c r="K1130">
        <v>26.666699999999999</v>
      </c>
      <c r="L1130">
        <v>4</v>
      </c>
      <c r="M1130">
        <v>3.2810000000000001</v>
      </c>
      <c r="N1130">
        <v>0.378</v>
      </c>
      <c r="O1130">
        <f>+K1130*L1130*M1130*N1130/100</f>
        <v>1.3229008536239999</v>
      </c>
    </row>
    <row r="1131" spans="1:17">
      <c r="A1131" s="19"/>
      <c r="B1131" s="56" t="s">
        <v>1518</v>
      </c>
      <c r="C1131" s="62">
        <v>0.11</v>
      </c>
      <c r="D1131" s="57" t="s">
        <v>1510</v>
      </c>
      <c r="E1131" s="61">
        <f>Materiales!$D$104</f>
        <v>5084.7457627118647</v>
      </c>
      <c r="F1131" s="61">
        <f>+E1131*0.18</f>
        <v>915.25423728813564</v>
      </c>
      <c r="G1131" s="17">
        <f>+C1131*E1131+C1131*F1131</f>
        <v>660</v>
      </c>
      <c r="H1131" s="12"/>
      <c r="J1131">
        <f>+K1130/0.25</f>
        <v>106.66679999999999</v>
      </c>
      <c r="K1131">
        <v>107</v>
      </c>
      <c r="L1131">
        <f>0.15*2+0.25*2</f>
        <v>0.8</v>
      </c>
      <c r="M1131">
        <v>3.2810000000000001</v>
      </c>
      <c r="N1131">
        <v>0.378</v>
      </c>
      <c r="O1131">
        <f>+K1131*L1131*M1131*N1131/100</f>
        <v>1.0616266080000001</v>
      </c>
      <c r="P1131">
        <f>+O1131*1.05</f>
        <v>1.1147079384</v>
      </c>
      <c r="Q1131">
        <f>+P1131/J1129</f>
        <v>29.725545024000002</v>
      </c>
    </row>
    <row r="1132" spans="1:17">
      <c r="A1132" s="19"/>
      <c r="B1132" s="56" t="s">
        <v>1636</v>
      </c>
      <c r="C1132" s="62">
        <v>1</v>
      </c>
      <c r="D1132" s="57" t="s">
        <v>21</v>
      </c>
      <c r="E1132" s="61">
        <v>175</v>
      </c>
      <c r="F1132" s="61"/>
      <c r="G1132" s="17">
        <f>+C1132*E1132+C1132*F1132</f>
        <v>175</v>
      </c>
      <c r="H1132" s="12"/>
    </row>
    <row r="1133" spans="1:17" ht="15.75" thickBot="1">
      <c r="A1133" s="21"/>
      <c r="B1133" s="22"/>
      <c r="C1133" s="23"/>
      <c r="D1133" s="24" t="s">
        <v>111</v>
      </c>
      <c r="E1133" s="78"/>
      <c r="F1133" s="79"/>
      <c r="G1133" s="26">
        <f>SUM(G1131:G1132)</f>
        <v>835</v>
      </c>
      <c r="H1133" s="27" t="s">
        <v>21</v>
      </c>
    </row>
    <row r="1134" spans="1:17" ht="12.75" customHeight="1" thickTop="1">
      <c r="C1134" s="68"/>
    </row>
    <row r="1135" spans="1:17" ht="12.75" customHeight="1">
      <c r="A1135" s="4"/>
      <c r="B1135" s="370" t="e">
        <f>#REF!</f>
        <v>#REF!</v>
      </c>
      <c r="C1135" s="370"/>
      <c r="D1135" s="370"/>
      <c r="E1135" s="370"/>
      <c r="F1135" s="370"/>
      <c r="G1135" s="370"/>
      <c r="H1135" s="370"/>
    </row>
    <row r="1136" spans="1:17" ht="12.75" customHeight="1">
      <c r="A1136" s="6"/>
      <c r="B1136" s="7"/>
      <c r="C1136" s="69" t="s">
        <v>98</v>
      </c>
      <c r="D1136" s="9" t="s">
        <v>39</v>
      </c>
      <c r="E1136" s="74" t="s">
        <v>99</v>
      </c>
      <c r="F1136" s="75" t="s">
        <v>100</v>
      </c>
      <c r="G1136" s="11" t="s">
        <v>101</v>
      </c>
      <c r="H1136" s="12"/>
    </row>
    <row r="1137" spans="1:17" ht="12.75" customHeight="1">
      <c r="A1137" s="13"/>
      <c r="B1137" s="56" t="s">
        <v>1637</v>
      </c>
      <c r="C1137" s="70">
        <v>0.3</v>
      </c>
      <c r="D1137" s="57" t="s">
        <v>1638</v>
      </c>
      <c r="E1137" s="76">
        <v>358.33</v>
      </c>
      <c r="F1137" s="76"/>
      <c r="G1137" s="17">
        <f>+C1137*E1137+C1137*F1137</f>
        <v>107.499</v>
      </c>
      <c r="H1137" s="18"/>
    </row>
    <row r="1138" spans="1:17" ht="12.75" customHeight="1">
      <c r="A1138" s="13"/>
      <c r="B1138" s="56" t="s">
        <v>1641</v>
      </c>
      <c r="C1138" s="70">
        <v>0.9</v>
      </c>
      <c r="D1138" s="57" t="s">
        <v>1638</v>
      </c>
      <c r="E1138" s="76">
        <v>123.44</v>
      </c>
      <c r="F1138" s="76"/>
      <c r="G1138" s="17">
        <f>+C1138*E1138+C1138*F1138</f>
        <v>111.096</v>
      </c>
      <c r="H1138" s="18"/>
    </row>
    <row r="1139" spans="1:17" ht="12.75" customHeight="1">
      <c r="A1139" s="13"/>
      <c r="B1139" s="56" t="s">
        <v>1643</v>
      </c>
      <c r="C1139" s="70">
        <v>0.1</v>
      </c>
      <c r="D1139" s="57" t="s">
        <v>47</v>
      </c>
      <c r="E1139" s="76">
        <f>SUM(G1137:G1138)</f>
        <v>218.595</v>
      </c>
      <c r="F1139" s="76"/>
      <c r="G1139" s="17">
        <f>+C1139*E1139+C1139*F1139</f>
        <v>21.859500000000001</v>
      </c>
      <c r="H1139" s="18"/>
    </row>
    <row r="1140" spans="1:17" ht="15.75" thickBot="1">
      <c r="A1140" s="21"/>
      <c r="B1140" s="22"/>
      <c r="C1140" s="71"/>
      <c r="D1140" s="24" t="s">
        <v>111</v>
      </c>
      <c r="E1140" s="78"/>
      <c r="F1140" s="79"/>
      <c r="G1140" s="26">
        <f>SUM(G1137:G1139)</f>
        <v>240.4545</v>
      </c>
      <c r="H1140" s="27" t="s">
        <v>20</v>
      </c>
    </row>
    <row r="1141" spans="1:17" ht="15.75" thickTop="1"/>
    <row r="1142" spans="1:17">
      <c r="A1142" s="64"/>
      <c r="B1142" s="370" t="e">
        <f>#REF!</f>
        <v>#REF!</v>
      </c>
      <c r="C1142" s="370"/>
      <c r="D1142" s="370"/>
      <c r="E1142" s="370"/>
      <c r="F1142" s="370"/>
      <c r="G1142" s="370"/>
      <c r="H1142" s="370"/>
      <c r="J1142">
        <v>3.7499999999999999E-2</v>
      </c>
      <c r="K1142">
        <v>26.666666666666668</v>
      </c>
    </row>
    <row r="1143" spans="1:17">
      <c r="A1143" s="6"/>
      <c r="B1143" s="7"/>
      <c r="C1143" s="8" t="s">
        <v>98</v>
      </c>
      <c r="D1143" s="9" t="s">
        <v>39</v>
      </c>
      <c r="E1143" s="74" t="s">
        <v>99</v>
      </c>
      <c r="F1143" s="75" t="s">
        <v>100</v>
      </c>
      <c r="G1143" s="11" t="s">
        <v>101</v>
      </c>
      <c r="H1143" s="12"/>
      <c r="J1143">
        <f>1.6/0.15</f>
        <v>10.666666666666668</v>
      </c>
      <c r="K1143">
        <v>26.666699999999999</v>
      </c>
      <c r="L1143">
        <v>4</v>
      </c>
      <c r="M1143">
        <v>3.2810000000000001</v>
      </c>
      <c r="N1143">
        <v>0.378</v>
      </c>
      <c r="O1143">
        <f>+K1143*L1143*M1143*N1143/100</f>
        <v>1.3229008536239999</v>
      </c>
    </row>
    <row r="1144" spans="1:17">
      <c r="A1144" s="19"/>
      <c r="B1144" s="56" t="s">
        <v>1518</v>
      </c>
      <c r="C1144" s="62">
        <f>1/7.41</f>
        <v>0.1349527665317139</v>
      </c>
      <c r="D1144" s="57" t="s">
        <v>1510</v>
      </c>
      <c r="E1144" s="61">
        <f>Materiales!$D$104</f>
        <v>5084.7457627118647</v>
      </c>
      <c r="F1144" s="61">
        <f>+E1144*0.18</f>
        <v>915.25423728813564</v>
      </c>
      <c r="G1144" s="17">
        <f>+C1144*E1144+C1144*F1144</f>
        <v>809.71659919028343</v>
      </c>
      <c r="H1144" s="12"/>
      <c r="J1144">
        <f>+K1143/0.25</f>
        <v>106.66679999999999</v>
      </c>
      <c r="K1144">
        <v>107</v>
      </c>
      <c r="L1144">
        <f>0.15*2+0.25*2</f>
        <v>0.8</v>
      </c>
      <c r="M1144">
        <v>3.2810000000000001</v>
      </c>
      <c r="N1144">
        <v>0.378</v>
      </c>
      <c r="O1144">
        <f>+K1144*L1144*M1144*N1144/100</f>
        <v>1.0616266080000001</v>
      </c>
      <c r="P1144">
        <f>+O1144*1.05</f>
        <v>1.1147079384</v>
      </c>
      <c r="Q1144">
        <f>+P1144/J1142</f>
        <v>29.725545024000002</v>
      </c>
    </row>
    <row r="1145" spans="1:17">
      <c r="A1145" s="19"/>
      <c r="B1145" s="56" t="s">
        <v>1703</v>
      </c>
      <c r="C1145" s="62">
        <v>1</v>
      </c>
      <c r="D1145" s="57" t="s">
        <v>43</v>
      </c>
      <c r="E1145" s="61">
        <v>350</v>
      </c>
      <c r="F1145" s="61"/>
      <c r="G1145" s="17">
        <f>+C1145*E1145+C1145*F1145</f>
        <v>350</v>
      </c>
      <c r="H1145" s="18"/>
      <c r="O1145">
        <f>SUM(O1143:O1144)</f>
        <v>2.3845274616239998</v>
      </c>
      <c r="P1145">
        <f>+O1145*1.05</f>
        <v>2.5037538347051997</v>
      </c>
    </row>
    <row r="1146" spans="1:17" ht="15.75" thickBot="1">
      <c r="A1146" s="21"/>
      <c r="B1146" s="22"/>
      <c r="C1146" s="23"/>
      <c r="D1146" s="24" t="s">
        <v>111</v>
      </c>
      <c r="E1146" s="78"/>
      <c r="F1146" s="79"/>
      <c r="G1146" s="26">
        <f>SUM(G1144:G1145)</f>
        <v>1159.7165991902834</v>
      </c>
      <c r="H1146" s="27" t="s">
        <v>43</v>
      </c>
    </row>
    <row r="1147" spans="1:17" ht="15.75" thickTop="1"/>
    <row r="1148" spans="1:17">
      <c r="A1148" s="64"/>
      <c r="B1148" s="370" t="e">
        <f>#REF!</f>
        <v>#REF!</v>
      </c>
      <c r="C1148" s="370"/>
      <c r="D1148" s="370"/>
      <c r="E1148" s="370"/>
      <c r="F1148" s="370"/>
      <c r="G1148" s="370"/>
      <c r="H1148" s="370"/>
      <c r="J1148">
        <v>3.7499999999999999E-2</v>
      </c>
      <c r="K1148">
        <v>26.666666666666668</v>
      </c>
    </row>
    <row r="1149" spans="1:17">
      <c r="A1149" s="6"/>
      <c r="B1149" s="7"/>
      <c r="C1149" s="8" t="s">
        <v>98</v>
      </c>
      <c r="D1149" s="9" t="s">
        <v>39</v>
      </c>
      <c r="E1149" s="74" t="s">
        <v>99</v>
      </c>
      <c r="F1149" s="75" t="s">
        <v>100</v>
      </c>
      <c r="G1149" s="11" t="s">
        <v>101</v>
      </c>
      <c r="H1149" s="12"/>
      <c r="J1149">
        <f>1.6/0.15</f>
        <v>10.666666666666668</v>
      </c>
      <c r="K1149">
        <v>26.666699999999999</v>
      </c>
      <c r="L1149">
        <v>4</v>
      </c>
      <c r="M1149">
        <v>3.2810000000000001</v>
      </c>
      <c r="N1149">
        <v>0.378</v>
      </c>
      <c r="O1149">
        <f>+K1149*L1149*M1149*N1149/100</f>
        <v>1.3229008536239999</v>
      </c>
    </row>
    <row r="1150" spans="1:17">
      <c r="A1150" s="19"/>
      <c r="B1150" s="56" t="s">
        <v>1518</v>
      </c>
      <c r="C1150" s="62">
        <v>1.1000000000000001</v>
      </c>
      <c r="D1150" s="57" t="s">
        <v>1510</v>
      </c>
      <c r="E1150" s="61">
        <f>Materiales!$D$104</f>
        <v>5084.7457627118647</v>
      </c>
      <c r="F1150" s="61">
        <f>+E1150*0.18</f>
        <v>915.25423728813564</v>
      </c>
      <c r="G1150" s="17">
        <f>+C1150*E1150+C1150*F1150</f>
        <v>6600.0000000000009</v>
      </c>
      <c r="H1150" s="12"/>
      <c r="J1150">
        <f>+K1149/0.25</f>
        <v>106.66679999999999</v>
      </c>
      <c r="K1150">
        <v>107</v>
      </c>
      <c r="L1150">
        <f>0.15*2+0.25*2</f>
        <v>0.8</v>
      </c>
      <c r="M1150">
        <v>3.2810000000000001</v>
      </c>
      <c r="N1150">
        <v>0.378</v>
      </c>
      <c r="O1150">
        <f>+K1150*L1150*M1150*N1150/100</f>
        <v>1.0616266080000001</v>
      </c>
      <c r="P1150">
        <f>+O1150*1.05</f>
        <v>1.1147079384</v>
      </c>
      <c r="Q1150">
        <f>+P1150/J1148</f>
        <v>29.725545024000002</v>
      </c>
    </row>
    <row r="1151" spans="1:17">
      <c r="A1151" s="19"/>
      <c r="B1151" s="56" t="s">
        <v>1636</v>
      </c>
      <c r="C1151" s="62">
        <f>1/0.12</f>
        <v>8.3333333333333339</v>
      </c>
      <c r="D1151" s="57" t="s">
        <v>21</v>
      </c>
      <c r="E1151" s="61">
        <v>175</v>
      </c>
      <c r="F1151" s="61"/>
      <c r="G1151" s="17">
        <f>+C1151*E1151+C1151*F1151</f>
        <v>1458.3333333333335</v>
      </c>
      <c r="H1151" s="12"/>
    </row>
    <row r="1152" spans="1:17" ht="15.75" thickBot="1">
      <c r="A1152" s="21"/>
      <c r="B1152" s="22"/>
      <c r="C1152" s="23"/>
      <c r="D1152" s="24" t="s">
        <v>111</v>
      </c>
      <c r="E1152" s="78"/>
      <c r="F1152" s="79"/>
      <c r="G1152" s="26">
        <f>SUM(G1150:G1151)</f>
        <v>8058.3333333333339</v>
      </c>
      <c r="H1152" s="27" t="s">
        <v>106</v>
      </c>
    </row>
    <row r="1153" spans="1:17" ht="15.75" thickTop="1"/>
    <row r="1154" spans="1:17">
      <c r="A1154" s="64"/>
      <c r="B1154" s="370" t="e">
        <f>#REF!</f>
        <v>#REF!</v>
      </c>
      <c r="C1154" s="370"/>
      <c r="D1154" s="370"/>
      <c r="E1154" s="370"/>
      <c r="F1154" s="370"/>
      <c r="G1154" s="370"/>
      <c r="H1154" s="370"/>
      <c r="J1154">
        <v>3.7499999999999999E-2</v>
      </c>
      <c r="K1154">
        <v>26.666666666666668</v>
      </c>
    </row>
    <row r="1155" spans="1:17">
      <c r="A1155" s="6"/>
      <c r="B1155" s="7"/>
      <c r="C1155" s="8" t="s">
        <v>98</v>
      </c>
      <c r="D1155" s="9" t="s">
        <v>39</v>
      </c>
      <c r="E1155" s="74" t="s">
        <v>99</v>
      </c>
      <c r="F1155" s="75" t="s">
        <v>100</v>
      </c>
      <c r="G1155" s="11" t="s">
        <v>101</v>
      </c>
      <c r="H1155" s="12"/>
      <c r="J1155">
        <f>1.6/0.15</f>
        <v>10.666666666666668</v>
      </c>
      <c r="K1155">
        <v>26.666699999999999</v>
      </c>
      <c r="L1155">
        <v>4</v>
      </c>
      <c r="M1155">
        <v>3.2810000000000001</v>
      </c>
      <c r="N1155">
        <v>0.378</v>
      </c>
      <c r="O1155">
        <f>+K1155*L1155*M1155*N1155/100</f>
        <v>1.3229008536239999</v>
      </c>
    </row>
    <row r="1156" spans="1:17">
      <c r="A1156" s="19"/>
      <c r="B1156" s="56" t="s">
        <v>1518</v>
      </c>
      <c r="C1156" s="62">
        <v>1.1000000000000001</v>
      </c>
      <c r="D1156" s="57" t="s">
        <v>1510</v>
      </c>
      <c r="E1156" s="61">
        <f>Materiales!$D$104</f>
        <v>5084.7457627118647</v>
      </c>
      <c r="F1156" s="61">
        <f>+E1156*0.18</f>
        <v>915.25423728813564</v>
      </c>
      <c r="G1156" s="17">
        <f>+C1156*E1156+C1156*F1156</f>
        <v>6600.0000000000009</v>
      </c>
      <c r="H1156" s="12"/>
      <c r="J1156">
        <f>+K1155/0.25</f>
        <v>106.66679999999999</v>
      </c>
      <c r="K1156">
        <v>107</v>
      </c>
      <c r="L1156">
        <f>0.15*2+0.25*2</f>
        <v>0.8</v>
      </c>
      <c r="M1156">
        <v>3.2810000000000001</v>
      </c>
      <c r="N1156">
        <v>0.378</v>
      </c>
      <c r="O1156">
        <f>+K1156*L1156*M1156*N1156/100</f>
        <v>1.0616266080000001</v>
      </c>
      <c r="P1156">
        <f>+O1156*1.05</f>
        <v>1.1147079384</v>
      </c>
      <c r="Q1156">
        <f>+P1156/J1154</f>
        <v>29.725545024000002</v>
      </c>
    </row>
    <row r="1157" spans="1:17">
      <c r="A1157" s="19"/>
      <c r="B1157" s="56" t="s">
        <v>1636</v>
      </c>
      <c r="C1157" s="62">
        <v>10</v>
      </c>
      <c r="D1157" s="57" t="s">
        <v>21</v>
      </c>
      <c r="E1157" s="61">
        <v>175</v>
      </c>
      <c r="F1157" s="61"/>
      <c r="G1157" s="17">
        <f>+C1157*E1157+C1157*F1157</f>
        <v>1750</v>
      </c>
      <c r="H1157" s="12"/>
    </row>
    <row r="1158" spans="1:17" ht="15.75" thickBot="1">
      <c r="A1158" s="21"/>
      <c r="B1158" s="22"/>
      <c r="C1158" s="23"/>
      <c r="D1158" s="24" t="s">
        <v>111</v>
      </c>
      <c r="E1158" s="78"/>
      <c r="F1158" s="79"/>
      <c r="G1158" s="26">
        <f>SUM(G1156:G1157)</f>
        <v>8350</v>
      </c>
      <c r="H1158" s="27" t="s">
        <v>106</v>
      </c>
    </row>
    <row r="1159" spans="1:17" ht="15.75" thickTop="1"/>
    <row r="1160" spans="1:17">
      <c r="A1160" s="53"/>
      <c r="B1160" s="53" t="s">
        <v>1635</v>
      </c>
      <c r="C1160" s="54"/>
      <c r="D1160" s="54"/>
      <c r="E1160" s="72"/>
      <c r="F1160" s="72"/>
      <c r="G1160" s="54"/>
      <c r="H1160" s="54"/>
    </row>
    <row r="1162" spans="1:17">
      <c r="A1162" s="64"/>
      <c r="B1162" s="370" t="e">
        <f>#REF!</f>
        <v>#REF!</v>
      </c>
      <c r="C1162" s="370"/>
      <c r="D1162" s="370"/>
      <c r="E1162" s="370"/>
      <c r="F1162" s="370"/>
      <c r="G1162" s="370"/>
      <c r="H1162" s="370"/>
      <c r="J1162">
        <v>3.7499999999999999E-2</v>
      </c>
      <c r="K1162">
        <v>26.666666666666668</v>
      </c>
    </row>
    <row r="1163" spans="1:17">
      <c r="A1163" s="6"/>
      <c r="B1163" s="7"/>
      <c r="C1163" s="8" t="s">
        <v>98</v>
      </c>
      <c r="D1163" s="9" t="s">
        <v>39</v>
      </c>
      <c r="E1163" s="74" t="s">
        <v>99</v>
      </c>
      <c r="F1163" s="75" t="s">
        <v>100</v>
      </c>
      <c r="G1163" s="11" t="s">
        <v>101</v>
      </c>
      <c r="H1163" s="12"/>
      <c r="J1163">
        <f>1.6/0.15</f>
        <v>10.666666666666668</v>
      </c>
      <c r="K1163">
        <v>26.666699999999999</v>
      </c>
      <c r="L1163">
        <v>4</v>
      </c>
      <c r="M1163">
        <v>3.2810000000000001</v>
      </c>
      <c r="N1163">
        <v>0.378</v>
      </c>
      <c r="O1163">
        <f>+K1163*L1163*M1163*N1163/100</f>
        <v>1.3229008536239999</v>
      </c>
    </row>
    <row r="1164" spans="1:17">
      <c r="A1164" s="19"/>
      <c r="B1164" s="56" t="s">
        <v>1851</v>
      </c>
      <c r="C1164" s="62">
        <v>30</v>
      </c>
      <c r="D1164" s="57" t="s">
        <v>1852</v>
      </c>
      <c r="E1164" s="61"/>
      <c r="F1164" s="61"/>
      <c r="G1164" s="17"/>
      <c r="H1164" s="12"/>
      <c r="J1164">
        <f>+K1163/0.25</f>
        <v>106.66679999999999</v>
      </c>
      <c r="K1164">
        <v>107</v>
      </c>
      <c r="L1164">
        <f>0.15*2+0.25*2</f>
        <v>0.8</v>
      </c>
      <c r="M1164">
        <v>3.2810000000000001</v>
      </c>
      <c r="N1164">
        <v>0.378</v>
      </c>
      <c r="O1164">
        <f>+K1164*L1164*M1164*N1164/100</f>
        <v>1.0616266080000001</v>
      </c>
      <c r="P1164">
        <f>+O1164*1.05</f>
        <v>1.1147079384</v>
      </c>
      <c r="Q1164">
        <f>+P1164/J1162</f>
        <v>29.725545024000002</v>
      </c>
    </row>
    <row r="1165" spans="1:17">
      <c r="A1165" s="19"/>
      <c r="B1165" s="56"/>
      <c r="C1165" s="62"/>
      <c r="D1165" s="57"/>
      <c r="E1165" s="61"/>
      <c r="F1165" s="61"/>
      <c r="G1165" s="17"/>
      <c r="H1165" s="18"/>
    </row>
    <row r="1166" spans="1:17">
      <c r="A1166" s="19"/>
      <c r="B1166" s="56" t="s">
        <v>1853</v>
      </c>
      <c r="C1166" s="62">
        <v>1</v>
      </c>
      <c r="D1166" s="57" t="s">
        <v>1493</v>
      </c>
      <c r="E1166" s="61">
        <v>261.5</v>
      </c>
      <c r="F1166" s="61"/>
      <c r="G1166" s="17">
        <f>+C1166*E1166+C1166*F1166</f>
        <v>261.5</v>
      </c>
      <c r="H1166" s="12"/>
    </row>
    <row r="1167" spans="1:17">
      <c r="A1167" s="19"/>
      <c r="B1167" s="56" t="s">
        <v>1854</v>
      </c>
      <c r="C1167" s="62">
        <v>1</v>
      </c>
      <c r="D1167" s="57" t="s">
        <v>1493</v>
      </c>
      <c r="E1167" s="61">
        <v>141.16999999999999</v>
      </c>
      <c r="F1167" s="61"/>
      <c r="G1167" s="17">
        <f>+C1167*E1167+C1167*F1167</f>
        <v>141.16999999999999</v>
      </c>
      <c r="H1167" s="12"/>
    </row>
    <row r="1168" spans="1:17">
      <c r="A1168" s="19"/>
      <c r="B1168" s="56" t="s">
        <v>1855</v>
      </c>
      <c r="C1168" s="62">
        <v>7</v>
      </c>
      <c r="D1168" s="57" t="s">
        <v>1856</v>
      </c>
      <c r="E1168" s="61">
        <v>187.62711864406782</v>
      </c>
      <c r="F1168" s="61">
        <v>33.772881355932206</v>
      </c>
      <c r="G1168" s="17">
        <f>+C1168*E1168+C1168*F1168</f>
        <v>1549.8000000000002</v>
      </c>
      <c r="H1168" s="12"/>
    </row>
    <row r="1169" spans="1:17">
      <c r="A1169" s="19"/>
      <c r="B1169" s="56" t="s">
        <v>1857</v>
      </c>
      <c r="C1169" s="62">
        <v>0.25</v>
      </c>
      <c r="D1169" s="57" t="s">
        <v>47</v>
      </c>
      <c r="E1169" s="61">
        <v>1600.1271186440679</v>
      </c>
      <c r="F1169" s="61">
        <v>288.02288135593221</v>
      </c>
      <c r="G1169" s="17">
        <f t="shared" ref="G1169:G1172" si="113">+C1169*E1169+C1169*F1169</f>
        <v>472.03750000000002</v>
      </c>
      <c r="H1169" s="12"/>
    </row>
    <row r="1170" spans="1:17">
      <c r="A1170" s="19"/>
      <c r="B1170" s="56" t="s">
        <v>1858</v>
      </c>
      <c r="C1170" s="62">
        <v>1</v>
      </c>
      <c r="D1170" s="57" t="s">
        <v>1493</v>
      </c>
      <c r="E1170" s="61">
        <v>106.47</v>
      </c>
      <c r="F1170" s="61"/>
      <c r="G1170" s="17">
        <f t="shared" si="113"/>
        <v>106.47</v>
      </c>
      <c r="H1170" s="12"/>
    </row>
    <row r="1171" spans="1:17">
      <c r="A1171" s="19"/>
      <c r="B1171" s="56" t="s">
        <v>1859</v>
      </c>
      <c r="C1171" s="62"/>
      <c r="D1171" s="57"/>
      <c r="E1171" s="61"/>
      <c r="F1171" s="61"/>
      <c r="G1171" s="17"/>
      <c r="H1171" s="12"/>
    </row>
    <row r="1172" spans="1:17">
      <c r="A1172" s="19"/>
      <c r="B1172" s="56" t="s">
        <v>1860</v>
      </c>
      <c r="C1172" s="62">
        <v>1</v>
      </c>
      <c r="D1172" s="57" t="s">
        <v>1493</v>
      </c>
      <c r="E1172" s="61">
        <v>2372.8813559322034</v>
      </c>
      <c r="F1172" s="61">
        <v>427.11864406779659</v>
      </c>
      <c r="G1172" s="17">
        <f t="shared" si="113"/>
        <v>2800</v>
      </c>
      <c r="H1172" s="12"/>
    </row>
    <row r="1173" spans="1:17" ht="15.75" thickBot="1">
      <c r="A1173" s="21"/>
      <c r="B1173" s="22"/>
      <c r="C1173" s="23"/>
      <c r="D1173" s="24" t="s">
        <v>111</v>
      </c>
      <c r="E1173" s="78"/>
      <c r="F1173" s="79"/>
      <c r="G1173" s="26">
        <f>SUM(G1166:G1172)/C1164</f>
        <v>177.69925000000001</v>
      </c>
      <c r="H1173" s="27" t="s">
        <v>20</v>
      </c>
    </row>
    <row r="1174" spans="1:17" ht="15.75" thickTop="1"/>
    <row r="1175" spans="1:17">
      <c r="A1175" s="64"/>
      <c r="B1175" s="370" t="e">
        <f>#REF!</f>
        <v>#REF!</v>
      </c>
      <c r="C1175" s="370"/>
      <c r="D1175" s="370"/>
      <c r="E1175" s="370"/>
      <c r="F1175" s="370"/>
      <c r="G1175" s="370"/>
      <c r="H1175" s="370"/>
      <c r="J1175">
        <v>3.7499999999999999E-2</v>
      </c>
      <c r="K1175">
        <v>26.666666666666668</v>
      </c>
    </row>
    <row r="1176" spans="1:17">
      <c r="A1176" s="6"/>
      <c r="B1176" s="7"/>
      <c r="C1176" s="8" t="s">
        <v>98</v>
      </c>
      <c r="D1176" s="9" t="s">
        <v>39</v>
      </c>
      <c r="E1176" s="74" t="s">
        <v>99</v>
      </c>
      <c r="F1176" s="75" t="s">
        <v>100</v>
      </c>
      <c r="G1176" s="11" t="s">
        <v>101</v>
      </c>
      <c r="H1176" s="12"/>
      <c r="J1176">
        <f>1.6/0.15</f>
        <v>10.666666666666668</v>
      </c>
      <c r="K1176">
        <v>26.666699999999999</v>
      </c>
      <c r="L1176">
        <v>4</v>
      </c>
      <c r="M1176">
        <v>3.2810000000000001</v>
      </c>
      <c r="N1176">
        <v>0.378</v>
      </c>
      <c r="O1176">
        <f>+K1176*L1176*M1176*N1176/100</f>
        <v>1.3229008536239999</v>
      </c>
    </row>
    <row r="1177" spans="1:17">
      <c r="A1177" s="19"/>
      <c r="B1177" s="56" t="s">
        <v>1702</v>
      </c>
      <c r="C1177" s="62">
        <v>1200</v>
      </c>
      <c r="D1177" s="57" t="s">
        <v>15</v>
      </c>
      <c r="E1177" s="61"/>
      <c r="F1177" s="61"/>
      <c r="G1177" s="17"/>
      <c r="H1177" s="12"/>
      <c r="J1177">
        <f>+K1176/0.25</f>
        <v>106.66679999999999</v>
      </c>
      <c r="K1177">
        <v>107</v>
      </c>
      <c r="L1177">
        <f>0.15*2+0.25*2</f>
        <v>0.8</v>
      </c>
      <c r="M1177">
        <v>3.2810000000000001</v>
      </c>
      <c r="N1177">
        <v>0.378</v>
      </c>
      <c r="O1177">
        <f>+K1177*L1177*M1177*N1177/100</f>
        <v>1.0616266080000001</v>
      </c>
      <c r="P1177">
        <f>+O1177*1.05</f>
        <v>1.1147079384</v>
      </c>
      <c r="Q1177">
        <f>+P1177/J1175</f>
        <v>29.725545024000002</v>
      </c>
    </row>
    <row r="1178" spans="1:17">
      <c r="A1178" s="19"/>
      <c r="B1178" s="56"/>
      <c r="C1178" s="62"/>
      <c r="D1178" s="57"/>
      <c r="E1178" s="61"/>
      <c r="F1178" s="61"/>
      <c r="G1178" s="17"/>
      <c r="H1178" s="18"/>
    </row>
    <row r="1179" spans="1:17">
      <c r="A1179" s="19"/>
      <c r="B1179" s="56" t="s">
        <v>1494</v>
      </c>
      <c r="C1179" s="62">
        <v>1200</v>
      </c>
      <c r="D1179" s="57" t="s">
        <v>19</v>
      </c>
      <c r="E1179" s="61">
        <v>338.98</v>
      </c>
      <c r="F1179" s="61">
        <f t="shared" ref="F1179" si="114">+E1179*0.18</f>
        <v>61.016400000000004</v>
      </c>
      <c r="G1179" s="17">
        <f>+C1179*E1179+C1179*F1179</f>
        <v>479995.68</v>
      </c>
      <c r="H1179" s="12"/>
    </row>
    <row r="1180" spans="1:17">
      <c r="A1180" s="19"/>
      <c r="B1180" s="56" t="s">
        <v>1495</v>
      </c>
      <c r="C1180" s="62">
        <f>1200*25</f>
        <v>30000</v>
      </c>
      <c r="D1180" s="57" t="s">
        <v>1496</v>
      </c>
      <c r="E1180" s="61">
        <v>18</v>
      </c>
      <c r="F1180" s="61"/>
      <c r="G1180" s="17">
        <f>+C1180*E1180+C1180*F1180</f>
        <v>540000</v>
      </c>
      <c r="H1180" s="12"/>
    </row>
    <row r="1181" spans="1:17">
      <c r="A1181" s="19"/>
      <c r="B1181" s="56" t="s">
        <v>1497</v>
      </c>
      <c r="C1181" s="62">
        <v>17.329999999999998</v>
      </c>
      <c r="D1181" s="57" t="s">
        <v>294</v>
      </c>
      <c r="E1181" s="61">
        <v>4607.9799999999996</v>
      </c>
      <c r="F1181" s="61">
        <f t="shared" ref="F1181:F1183" si="115">+E1181*0.18</f>
        <v>829.43639999999994</v>
      </c>
      <c r="G1181" s="17">
        <f>+C1181*E1181+C1181*F1181</f>
        <v>94230.426211999977</v>
      </c>
      <c r="H1181" s="12"/>
    </row>
    <row r="1182" spans="1:17">
      <c r="A1182" s="19"/>
      <c r="B1182" s="56" t="s">
        <v>1498</v>
      </c>
      <c r="C1182" s="62">
        <v>8.67</v>
      </c>
      <c r="D1182" s="57" t="s">
        <v>294</v>
      </c>
      <c r="E1182" s="61">
        <v>4607.9799999999996</v>
      </c>
      <c r="F1182" s="61">
        <f t="shared" si="115"/>
        <v>829.43639999999994</v>
      </c>
      <c r="G1182" s="17">
        <f t="shared" ref="G1182:G1188" si="116">+C1182*E1182+C1182*F1182</f>
        <v>47142.400187999992</v>
      </c>
      <c r="H1182" s="12"/>
    </row>
    <row r="1183" spans="1:17">
      <c r="A1183" s="19"/>
      <c r="B1183" s="56" t="s">
        <v>1499</v>
      </c>
      <c r="C1183" s="62">
        <v>20.8</v>
      </c>
      <c r="D1183" s="57" t="s">
        <v>294</v>
      </c>
      <c r="E1183" s="61">
        <v>3128.48</v>
      </c>
      <c r="F1183" s="61">
        <f t="shared" si="115"/>
        <v>563.12639999999999</v>
      </c>
      <c r="G1183" s="17">
        <f t="shared" si="116"/>
        <v>76785.413120000012</v>
      </c>
      <c r="H1183" s="12"/>
    </row>
    <row r="1184" spans="1:17">
      <c r="A1184" s="19"/>
      <c r="B1184" s="56" t="s">
        <v>1500</v>
      </c>
      <c r="C1184" s="62">
        <v>5.2</v>
      </c>
      <c r="D1184" s="57" t="s">
        <v>3</v>
      </c>
      <c r="E1184" s="61">
        <v>2000</v>
      </c>
      <c r="F1184" s="61"/>
      <c r="G1184" s="17">
        <f t="shared" si="116"/>
        <v>10400</v>
      </c>
      <c r="H1184" s="12"/>
    </row>
    <row r="1185" spans="1:11">
      <c r="A1185" s="19"/>
      <c r="B1185" s="56" t="s">
        <v>1501</v>
      </c>
      <c r="C1185" s="62">
        <v>2</v>
      </c>
      <c r="D1185" s="57" t="s">
        <v>3</v>
      </c>
      <c r="E1185" s="61">
        <v>15000</v>
      </c>
      <c r="F1185" s="61"/>
      <c r="G1185" s="17">
        <f t="shared" si="116"/>
        <v>30000</v>
      </c>
      <c r="H1185" s="12"/>
    </row>
    <row r="1186" spans="1:11">
      <c r="A1186" s="19"/>
      <c r="B1186" s="56" t="s">
        <v>1502</v>
      </c>
      <c r="C1186" s="62">
        <v>2</v>
      </c>
      <c r="D1186" s="57" t="s">
        <v>3</v>
      </c>
      <c r="E1186" s="61">
        <v>12000</v>
      </c>
      <c r="F1186" s="61"/>
      <c r="G1186" s="17">
        <f t="shared" si="116"/>
        <v>24000</v>
      </c>
      <c r="H1186" s="12"/>
    </row>
    <row r="1187" spans="1:11">
      <c r="A1187" s="19"/>
      <c r="B1187" s="56" t="s">
        <v>1503</v>
      </c>
      <c r="C1187" s="62">
        <v>3</v>
      </c>
      <c r="D1187" s="57" t="s">
        <v>290</v>
      </c>
      <c r="E1187" s="61">
        <v>15000</v>
      </c>
      <c r="F1187" s="61"/>
      <c r="G1187" s="17">
        <f t="shared" si="116"/>
        <v>45000</v>
      </c>
      <c r="H1187" s="12"/>
    </row>
    <row r="1188" spans="1:11">
      <c r="A1188" s="19"/>
      <c r="B1188" s="56" t="s">
        <v>1504</v>
      </c>
      <c r="C1188" s="62">
        <v>4</v>
      </c>
      <c r="D1188" s="57" t="s">
        <v>290</v>
      </c>
      <c r="E1188" s="61">
        <v>847</v>
      </c>
      <c r="F1188" s="61"/>
      <c r="G1188" s="17">
        <f t="shared" si="116"/>
        <v>3388</v>
      </c>
      <c r="H1188" s="12"/>
    </row>
    <row r="1189" spans="1:11" ht="15.75" thickBot="1">
      <c r="A1189" s="21"/>
      <c r="B1189" s="22"/>
      <c r="C1189" s="23"/>
      <c r="D1189" s="24" t="s">
        <v>111</v>
      </c>
      <c r="E1189" s="78"/>
      <c r="F1189" s="79"/>
      <c r="G1189" s="26">
        <f>SUM(G1179:G1188)/C1177</f>
        <v>1125.784932933333</v>
      </c>
      <c r="H1189" s="27" t="s">
        <v>21</v>
      </c>
    </row>
    <row r="1190" spans="1:11" ht="15.75" thickTop="1">
      <c r="B1190" s="55"/>
    </row>
    <row r="1191" spans="1:11">
      <c r="A1191" s="4"/>
      <c r="B1191" s="370" t="s">
        <v>49</v>
      </c>
      <c r="C1191" s="370"/>
      <c r="D1191" s="370"/>
      <c r="E1191" s="370"/>
      <c r="F1191" s="370"/>
      <c r="G1191" s="370"/>
      <c r="H1191" s="370"/>
    </row>
    <row r="1192" spans="1:11">
      <c r="A1192" s="6"/>
      <c r="B1192" s="7"/>
      <c r="C1192" s="8" t="s">
        <v>98</v>
      </c>
      <c r="D1192" s="9" t="s">
        <v>39</v>
      </c>
      <c r="E1192" s="74" t="s">
        <v>99</v>
      </c>
      <c r="F1192" s="75" t="s">
        <v>100</v>
      </c>
      <c r="G1192" s="11" t="s">
        <v>101</v>
      </c>
      <c r="H1192" s="12"/>
    </row>
    <row r="1193" spans="1:11">
      <c r="A1193" s="6"/>
      <c r="B1193" s="7"/>
      <c r="C1193" s="8"/>
      <c r="D1193" s="9"/>
      <c r="E1193" s="74"/>
      <c r="F1193" s="75"/>
      <c r="G1193" s="11"/>
      <c r="H1193" s="12"/>
    </row>
    <row r="1194" spans="1:11">
      <c r="A1194" s="19"/>
      <c r="B1194" s="56" t="s">
        <v>1505</v>
      </c>
      <c r="C1194" s="62">
        <v>1</v>
      </c>
      <c r="D1194" s="57" t="s">
        <v>1506</v>
      </c>
      <c r="E1194" s="61">
        <v>78.5</v>
      </c>
      <c r="F1194" s="61"/>
      <c r="G1194" s="17">
        <f>+C1194*E1194+C1194*F1194</f>
        <v>78.5</v>
      </c>
      <c r="H1194" s="12"/>
    </row>
    <row r="1195" spans="1:11">
      <c r="A1195" s="19"/>
      <c r="B1195" s="56" t="s">
        <v>1507</v>
      </c>
      <c r="C1195" s="62">
        <v>5</v>
      </c>
      <c r="D1195" s="57" t="s">
        <v>1506</v>
      </c>
      <c r="E1195" s="61">
        <v>24.76</v>
      </c>
      <c r="F1195" s="61"/>
      <c r="G1195" s="17">
        <f>+C1195*E1195+C1195*F1195</f>
        <v>123.80000000000001</v>
      </c>
      <c r="H1195" s="18"/>
    </row>
    <row r="1196" spans="1:11">
      <c r="A1196" s="19"/>
      <c r="B1196" s="56" t="s">
        <v>1508</v>
      </c>
      <c r="C1196" s="62">
        <v>5</v>
      </c>
      <c r="D1196" s="57" t="s">
        <v>1506</v>
      </c>
      <c r="E1196" s="61">
        <v>19.22</v>
      </c>
      <c r="F1196" s="61"/>
      <c r="G1196" s="17">
        <f>+C1196*E1196+C1196*F1196</f>
        <v>96.1</v>
      </c>
      <c r="H1196" s="12"/>
    </row>
    <row r="1197" spans="1:11">
      <c r="A1197" s="19"/>
      <c r="B1197" s="56"/>
      <c r="C1197" s="62"/>
      <c r="D1197" s="57"/>
      <c r="E1197" s="61"/>
      <c r="F1197" s="61"/>
      <c r="G1197" s="17"/>
      <c r="H1197" s="12"/>
    </row>
    <row r="1198" spans="1:11" ht="15.75" thickBot="1">
      <c r="A1198" s="21"/>
      <c r="B1198" s="22"/>
      <c r="C1198" s="23"/>
      <c r="D1198" s="24" t="s">
        <v>111</v>
      </c>
      <c r="E1198" s="78"/>
      <c r="F1198" s="79"/>
      <c r="G1198" s="26">
        <f>SUM(G1194:G1197)</f>
        <v>298.39999999999998</v>
      </c>
      <c r="H1198" s="27" t="s">
        <v>106</v>
      </c>
    </row>
    <row r="1199" spans="1:11" ht="15.75" thickTop="1"/>
    <row r="1200" spans="1:11">
      <c r="A1200" s="64"/>
      <c r="B1200" s="370" t="e">
        <f>#REF!</f>
        <v>#REF!</v>
      </c>
      <c r="C1200" s="370"/>
      <c r="D1200" s="370"/>
      <c r="E1200" s="370"/>
      <c r="F1200" s="370"/>
      <c r="G1200" s="370"/>
      <c r="H1200" s="370"/>
      <c r="J1200">
        <v>3.7499999999999999E-2</v>
      </c>
      <c r="K1200">
        <v>26.666666666666668</v>
      </c>
    </row>
    <row r="1201" spans="1:17">
      <c r="A1201" s="6"/>
      <c r="B1201" s="7"/>
      <c r="C1201" s="8" t="s">
        <v>98</v>
      </c>
      <c r="D1201" s="9" t="s">
        <v>39</v>
      </c>
      <c r="E1201" s="74" t="s">
        <v>99</v>
      </c>
      <c r="F1201" s="75" t="s">
        <v>100</v>
      </c>
      <c r="G1201" s="11" t="s">
        <v>101</v>
      </c>
      <c r="H1201" s="12"/>
      <c r="J1201">
        <f>1.6/0.15</f>
        <v>10.666666666666668</v>
      </c>
      <c r="K1201">
        <v>26.666699999999999</v>
      </c>
      <c r="L1201">
        <v>4</v>
      </c>
      <c r="M1201">
        <v>3.2810000000000001</v>
      </c>
      <c r="N1201">
        <v>0.378</v>
      </c>
      <c r="O1201">
        <f>+K1201*L1201*M1201*N1201/100</f>
        <v>1.3229008536239999</v>
      </c>
    </row>
    <row r="1202" spans="1:17">
      <c r="A1202" s="19"/>
      <c r="B1202" s="56" t="s">
        <v>1518</v>
      </c>
      <c r="C1202" s="62">
        <v>0.105</v>
      </c>
      <c r="D1202" s="57" t="s">
        <v>1510</v>
      </c>
      <c r="E1202" s="61">
        <f>Materiales!$D$104</f>
        <v>5084.7457627118647</v>
      </c>
      <c r="F1202" s="61">
        <f>+E1202*0.18</f>
        <v>915.25423728813564</v>
      </c>
      <c r="G1202" s="17">
        <f>+C1202*E1202+C1202*F1202</f>
        <v>630</v>
      </c>
      <c r="H1202" s="12"/>
      <c r="J1202">
        <f>+K1201/0.25</f>
        <v>106.66679999999999</v>
      </c>
      <c r="K1202">
        <v>107</v>
      </c>
      <c r="L1202">
        <f>0.15*2+0.25*2</f>
        <v>0.8</v>
      </c>
      <c r="M1202">
        <v>3.2810000000000001</v>
      </c>
      <c r="N1202">
        <v>0.378</v>
      </c>
      <c r="O1202">
        <f>+K1202*L1202*M1202*N1202/100</f>
        <v>1.0616266080000001</v>
      </c>
      <c r="P1202">
        <f>+O1202*1.05</f>
        <v>1.1147079384</v>
      </c>
      <c r="Q1202">
        <f>+P1202/J1200</f>
        <v>29.725545024000002</v>
      </c>
    </row>
    <row r="1203" spans="1:17">
      <c r="A1203" s="19"/>
      <c r="B1203" s="56" t="s">
        <v>1837</v>
      </c>
      <c r="C1203" s="62">
        <v>1.0999999999999999E-2</v>
      </c>
      <c r="D1203" s="57" t="s">
        <v>1519</v>
      </c>
      <c r="E1203" s="61">
        <f>Materiales!$D$41</f>
        <v>8177.9661016949149</v>
      </c>
      <c r="F1203" s="61">
        <f t="shared" ref="F1203:F1204" si="117">+E1203*0.18</f>
        <v>1472.0338983050847</v>
      </c>
      <c r="G1203" s="17">
        <f>+C1203*E1203+C1203*F1203</f>
        <v>106.14999999999998</v>
      </c>
      <c r="H1203" s="18"/>
      <c r="O1203">
        <f>SUM(O1201:O1202)</f>
        <v>2.3845274616239998</v>
      </c>
      <c r="P1203">
        <f>+O1203*1.05</f>
        <v>2.5037538347051997</v>
      </c>
    </row>
    <row r="1204" spans="1:17">
      <c r="A1204" s="19"/>
      <c r="B1204" s="56" t="s">
        <v>1514</v>
      </c>
      <c r="C1204" s="62">
        <v>0.01</v>
      </c>
      <c r="D1204" s="57" t="s">
        <v>1515</v>
      </c>
      <c r="E1204" s="61">
        <f>110/1.18</f>
        <v>93.220338983050851</v>
      </c>
      <c r="F1204" s="61">
        <f t="shared" si="117"/>
        <v>16.779661016949152</v>
      </c>
      <c r="G1204" s="17">
        <f>+C1204*E1204+C1204*F1204</f>
        <v>1.1000000000000001</v>
      </c>
      <c r="H1204" s="12"/>
    </row>
    <row r="1205" spans="1:17">
      <c r="A1205" s="19"/>
      <c r="B1205" s="56" t="s">
        <v>1520</v>
      </c>
      <c r="C1205" s="62">
        <v>1</v>
      </c>
      <c r="D1205" s="57" t="s">
        <v>21</v>
      </c>
      <c r="E1205" s="61">
        <v>36</v>
      </c>
      <c r="F1205" s="61"/>
      <c r="G1205" s="17">
        <f>+C1205*E1205+C1205*F1205</f>
        <v>36</v>
      </c>
      <c r="H1205" s="12"/>
    </row>
    <row r="1206" spans="1:17">
      <c r="A1206" s="19"/>
      <c r="B1206" s="56" t="s">
        <v>1565</v>
      </c>
      <c r="C1206" s="62">
        <v>1</v>
      </c>
      <c r="D1206" s="57" t="s">
        <v>21</v>
      </c>
      <c r="E1206" s="61">
        <v>180</v>
      </c>
      <c r="F1206" s="61"/>
      <c r="G1206" s="17">
        <f>+C1206*E1206+C1206*F1206</f>
        <v>180</v>
      </c>
      <c r="H1206" s="12"/>
    </row>
    <row r="1207" spans="1:17" ht="15.75" thickBot="1">
      <c r="A1207" s="21"/>
      <c r="B1207" s="22"/>
      <c r="C1207" s="23"/>
      <c r="D1207" s="24" t="s">
        <v>111</v>
      </c>
      <c r="E1207" s="78"/>
      <c r="F1207" s="79"/>
      <c r="G1207" s="26">
        <f>SUM(G1202:G1206)</f>
        <v>953.25</v>
      </c>
      <c r="H1207" s="27" t="s">
        <v>21</v>
      </c>
    </row>
    <row r="1208" spans="1:17" ht="15.75" thickTop="1">
      <c r="B1208" s="55"/>
    </row>
    <row r="1209" spans="1:17" ht="27.75" customHeight="1">
      <c r="A1209" s="64"/>
      <c r="B1209" s="370" t="s">
        <v>90</v>
      </c>
      <c r="C1209" s="370"/>
      <c r="D1209" s="370"/>
      <c r="E1209" s="370"/>
      <c r="F1209" s="370"/>
      <c r="G1209" s="370"/>
      <c r="H1209" s="370"/>
      <c r="J1209">
        <v>3.7499999999999999E-2</v>
      </c>
      <c r="K1209">
        <v>26.666666666666668</v>
      </c>
    </row>
    <row r="1210" spans="1:17">
      <c r="A1210" s="6"/>
      <c r="B1210" s="7"/>
      <c r="C1210" s="8" t="s">
        <v>98</v>
      </c>
      <c r="D1210" s="9" t="s">
        <v>39</v>
      </c>
      <c r="E1210" s="74" t="s">
        <v>99</v>
      </c>
      <c r="F1210" s="75" t="s">
        <v>100</v>
      </c>
      <c r="G1210" s="11" t="s">
        <v>101</v>
      </c>
      <c r="H1210" s="12"/>
      <c r="J1210">
        <f>1.6/0.15</f>
        <v>10.666666666666668</v>
      </c>
      <c r="K1210">
        <v>26.666699999999999</v>
      </c>
      <c r="L1210">
        <v>4</v>
      </c>
      <c r="M1210">
        <v>3.2810000000000001</v>
      </c>
      <c r="N1210">
        <v>0.378</v>
      </c>
      <c r="O1210">
        <f>+K1210*L1210*M1210*N1210/100</f>
        <v>1.3229008536239999</v>
      </c>
    </row>
    <row r="1211" spans="1:17">
      <c r="A1211" s="19"/>
      <c r="B1211" s="60" t="str">
        <f>+B1209</f>
        <v>Suministro y colocacion de paragomas de concreto</v>
      </c>
      <c r="C1211" s="62">
        <v>1</v>
      </c>
      <c r="D1211" s="57" t="s">
        <v>1492</v>
      </c>
      <c r="E1211" s="61">
        <f>1750/1.18</f>
        <v>1483.0508474576272</v>
      </c>
      <c r="F1211" s="61">
        <f>+E1211*0.18</f>
        <v>266.94915254237287</v>
      </c>
      <c r="G1211" s="17">
        <f>+C1211*E1211+C1211*F1211</f>
        <v>1750</v>
      </c>
      <c r="H1211" s="12"/>
      <c r="J1211">
        <f>+K1210/0.25</f>
        <v>106.66679999999999</v>
      </c>
      <c r="K1211">
        <v>107</v>
      </c>
      <c r="L1211">
        <f>0.15*2+0.25*2</f>
        <v>0.8</v>
      </c>
      <c r="M1211">
        <v>3.2810000000000001</v>
      </c>
      <c r="N1211">
        <v>0.378</v>
      </c>
      <c r="O1211">
        <f>+K1211*L1211*M1211*N1211/100</f>
        <v>1.0616266080000001</v>
      </c>
      <c r="P1211">
        <f>+O1211*1.05</f>
        <v>1.1147079384</v>
      </c>
      <c r="Q1211">
        <f>+P1211/J1209</f>
        <v>29.725545024000002</v>
      </c>
    </row>
    <row r="1212" spans="1:17" ht="15.75" thickBot="1">
      <c r="A1212" s="21"/>
      <c r="B1212" s="22"/>
      <c r="C1212" s="23"/>
      <c r="D1212" s="24" t="s">
        <v>111</v>
      </c>
      <c r="E1212" s="78"/>
      <c r="F1212" s="79"/>
      <c r="G1212" s="26">
        <f>SUM(G1211:G1211)</f>
        <v>1750</v>
      </c>
      <c r="H1212" s="27" t="s">
        <v>1492</v>
      </c>
    </row>
    <row r="1213" spans="1:17" ht="15.75" thickTop="1"/>
    <row r="1214" spans="1:17" ht="27.75" customHeight="1">
      <c r="A1214" s="64"/>
      <c r="B1214" s="370" t="s">
        <v>89</v>
      </c>
      <c r="C1214" s="370"/>
      <c r="D1214" s="370"/>
      <c r="E1214" s="370"/>
      <c r="F1214" s="370"/>
      <c r="G1214" s="370"/>
      <c r="H1214" s="370"/>
      <c r="J1214">
        <v>3.7499999999999999E-2</v>
      </c>
      <c r="K1214">
        <v>26.666666666666668</v>
      </c>
    </row>
    <row r="1215" spans="1:17">
      <c r="A1215" s="6"/>
      <c r="B1215" s="7"/>
      <c r="C1215" s="8" t="s">
        <v>98</v>
      </c>
      <c r="D1215" s="9" t="s">
        <v>39</v>
      </c>
      <c r="E1215" s="74" t="s">
        <v>99</v>
      </c>
      <c r="F1215" s="75" t="s">
        <v>100</v>
      </c>
      <c r="G1215" s="11" t="s">
        <v>101</v>
      </c>
      <c r="H1215" s="12"/>
      <c r="J1215">
        <f>1.6/0.15</f>
        <v>10.666666666666668</v>
      </c>
      <c r="K1215">
        <v>26.666699999999999</v>
      </c>
      <c r="L1215">
        <v>4</v>
      </c>
      <c r="M1215">
        <v>3.2810000000000001</v>
      </c>
      <c r="N1215">
        <v>0.378</v>
      </c>
      <c r="O1215">
        <f>+K1215*L1215*M1215*N1215/100</f>
        <v>1.3229008536239999</v>
      </c>
    </row>
    <row r="1216" spans="1:17">
      <c r="A1216" s="19"/>
      <c r="B1216" s="60" t="str">
        <f>+B1214</f>
        <v>Señalización Horizontal</v>
      </c>
      <c r="C1216" s="62">
        <f>20*5</f>
        <v>100</v>
      </c>
      <c r="D1216" s="57" t="s">
        <v>43</v>
      </c>
      <c r="E1216" s="61">
        <f>100/1.18</f>
        <v>84.745762711864415</v>
      </c>
      <c r="F1216" s="61">
        <f>+E1216*0.18</f>
        <v>15.254237288135593</v>
      </c>
      <c r="G1216" s="17">
        <f>+C1216*E1216+C1216*F1216</f>
        <v>10000</v>
      </c>
      <c r="H1216" s="12"/>
      <c r="J1216">
        <f>+K1215/0.25</f>
        <v>106.66679999999999</v>
      </c>
      <c r="K1216">
        <v>107</v>
      </c>
      <c r="L1216">
        <f>0.15*2+0.25*2</f>
        <v>0.8</v>
      </c>
      <c r="M1216">
        <v>3.2810000000000001</v>
      </c>
      <c r="N1216">
        <v>0.378</v>
      </c>
      <c r="O1216">
        <f>+K1216*L1216*M1216*N1216/100</f>
        <v>1.0616266080000001</v>
      </c>
      <c r="P1216">
        <f>+O1216*1.05</f>
        <v>1.1147079384</v>
      </c>
      <c r="Q1216">
        <f>+P1216/J1214</f>
        <v>29.725545024000002</v>
      </c>
    </row>
    <row r="1217" spans="1:16 16384:16384" ht="15.75" thickBot="1">
      <c r="A1217" s="21"/>
      <c r="B1217" s="22"/>
      <c r="C1217" s="23"/>
      <c r="D1217" s="24" t="s">
        <v>111</v>
      </c>
      <c r="E1217" s="78"/>
      <c r="F1217" s="79"/>
      <c r="G1217" s="26">
        <f>SUM(G1216:G1216)</f>
        <v>10000</v>
      </c>
      <c r="H1217" s="27" t="s">
        <v>43</v>
      </c>
    </row>
    <row r="1218" spans="1:16 16384:16384" ht="15.75" thickTop="1"/>
    <row r="1219" spans="1:16 16384:16384">
      <c r="A1219" s="53"/>
      <c r="B1219" s="53" t="s">
        <v>1610</v>
      </c>
      <c r="C1219" s="54"/>
      <c r="D1219" s="54"/>
      <c r="E1219" s="72"/>
      <c r="F1219" s="72"/>
      <c r="G1219" s="54"/>
      <c r="H1219" s="54"/>
    </row>
    <row r="1220" spans="1:16 16384:16384">
      <c r="B1220" s="55"/>
    </row>
    <row r="1221" spans="1:16 16384:16384">
      <c r="A1221" s="64"/>
      <c r="B1221" s="370" t="e">
        <f>#REF!</f>
        <v>#REF!</v>
      </c>
      <c r="C1221" s="370"/>
      <c r="D1221" s="370"/>
      <c r="E1221" s="370"/>
      <c r="F1221" s="370"/>
      <c r="G1221" s="370"/>
      <c r="H1221" s="370"/>
    </row>
    <row r="1222" spans="1:16 16384:16384" ht="18.75" customHeight="1">
      <c r="A1222" s="6"/>
      <c r="B1222" s="7"/>
      <c r="C1222" s="8" t="s">
        <v>98</v>
      </c>
      <c r="D1222" s="9" t="s">
        <v>39</v>
      </c>
      <c r="E1222" s="74" t="s">
        <v>99</v>
      </c>
      <c r="F1222" s="75" t="s">
        <v>100</v>
      </c>
      <c r="G1222" s="11" t="s">
        <v>101</v>
      </c>
      <c r="H1222" s="12"/>
    </row>
    <row r="1223" spans="1:16 16384:16384">
      <c r="A1223" s="13"/>
      <c r="B1223" s="67" t="s">
        <v>1611</v>
      </c>
      <c r="C1223" s="57">
        <v>1.1499999999999999</v>
      </c>
      <c r="D1223" s="57" t="s">
        <v>3</v>
      </c>
      <c r="E1223" s="76">
        <v>104.24</v>
      </c>
      <c r="F1223" s="76">
        <f>+E1223*0.18</f>
        <v>18.763199999999998</v>
      </c>
      <c r="G1223" s="17">
        <f>+C1223*E1223+C1223*F1223</f>
        <v>141.45367999999999</v>
      </c>
      <c r="H1223" s="18"/>
      <c r="K1223">
        <f>19204.66*4</f>
        <v>76818.64</v>
      </c>
    </row>
    <row r="1224" spans="1:16 16384:16384">
      <c r="A1224" s="13"/>
      <c r="B1224" s="67" t="s">
        <v>1612</v>
      </c>
      <c r="C1224" s="57">
        <v>1</v>
      </c>
      <c r="D1224" s="57" t="s">
        <v>3</v>
      </c>
      <c r="E1224" s="76">
        <v>46.61</v>
      </c>
      <c r="F1224" s="76">
        <f t="shared" ref="F1224:F1229" si="118">+E1224*0.18</f>
        <v>8.3897999999999993</v>
      </c>
      <c r="G1224" s="17">
        <f t="shared" ref="G1224:G1230" si="119">+C1224*E1224+C1224*F1224</f>
        <v>54.9998</v>
      </c>
      <c r="H1224" s="18"/>
    </row>
    <row r="1225" spans="1:16 16384:16384">
      <c r="A1225" s="13"/>
      <c r="B1225" s="67" t="s">
        <v>1613</v>
      </c>
      <c r="C1225" s="57">
        <v>40</v>
      </c>
      <c r="D1225" s="57" t="s">
        <v>855</v>
      </c>
      <c r="E1225" s="76">
        <v>9.42</v>
      </c>
      <c r="F1225" s="76">
        <f t="shared" si="118"/>
        <v>1.6956</v>
      </c>
      <c r="G1225" s="17">
        <f t="shared" si="119"/>
        <v>444.62400000000002</v>
      </c>
      <c r="H1225" s="18"/>
    </row>
    <row r="1226" spans="1:16 16384:16384">
      <c r="A1226" s="13"/>
      <c r="B1226" s="67" t="s">
        <v>1614</v>
      </c>
      <c r="C1226" s="57">
        <v>1</v>
      </c>
      <c r="D1226" s="57" t="s">
        <v>3</v>
      </c>
      <c r="E1226" s="76">
        <v>67.8</v>
      </c>
      <c r="F1226" s="76">
        <f t="shared" si="118"/>
        <v>12.203999999999999</v>
      </c>
      <c r="G1226" s="17">
        <f t="shared" si="119"/>
        <v>80.003999999999991</v>
      </c>
      <c r="H1226" s="18"/>
    </row>
    <row r="1227" spans="1:16 16384:16384">
      <c r="A1227" s="13"/>
      <c r="B1227" s="67" t="s">
        <v>1615</v>
      </c>
      <c r="C1227" s="57">
        <v>0.05</v>
      </c>
      <c r="D1227" s="57" t="s">
        <v>3</v>
      </c>
      <c r="E1227" s="76">
        <v>338.98</v>
      </c>
      <c r="F1227" s="76">
        <f t="shared" si="118"/>
        <v>61.016400000000004</v>
      </c>
      <c r="G1227" s="17">
        <f t="shared" si="119"/>
        <v>19.999820000000003</v>
      </c>
      <c r="H1227" s="18"/>
    </row>
    <row r="1228" spans="1:16 16384:16384">
      <c r="A1228" s="13"/>
      <c r="B1228" s="67" t="s">
        <v>1616</v>
      </c>
      <c r="C1228" s="57">
        <v>1.2500000000000001E-2</v>
      </c>
      <c r="D1228" s="57" t="s">
        <v>3</v>
      </c>
      <c r="E1228" s="76">
        <v>628.80999999999995</v>
      </c>
      <c r="F1228" s="76">
        <f t="shared" si="118"/>
        <v>113.18579999999999</v>
      </c>
      <c r="G1228" s="17">
        <f t="shared" si="119"/>
        <v>9.2749474999999997</v>
      </c>
      <c r="H1228" s="18"/>
    </row>
    <row r="1229" spans="1:16 16384:16384">
      <c r="A1229" s="13"/>
      <c r="B1229" s="67" t="s">
        <v>1617</v>
      </c>
      <c r="C1229" s="57">
        <v>1</v>
      </c>
      <c r="D1229" s="57" t="s">
        <v>1618</v>
      </c>
      <c r="E1229" s="76">
        <f>100/1.18</f>
        <v>84.745762711864415</v>
      </c>
      <c r="F1229" s="76">
        <f t="shared" si="118"/>
        <v>15.254237288135593</v>
      </c>
      <c r="G1229" s="17">
        <f t="shared" si="119"/>
        <v>100.00000000000001</v>
      </c>
      <c r="H1229" s="18"/>
    </row>
    <row r="1230" spans="1:16 16384:16384">
      <c r="A1230" s="13"/>
      <c r="B1230" s="67" t="s">
        <v>1619</v>
      </c>
      <c r="C1230" s="57">
        <v>1</v>
      </c>
      <c r="D1230" s="57" t="s">
        <v>3</v>
      </c>
      <c r="E1230" s="76">
        <v>589.66</v>
      </c>
      <c r="F1230" s="76"/>
      <c r="G1230" s="17">
        <f t="shared" si="119"/>
        <v>589.66</v>
      </c>
      <c r="H1230" s="18"/>
    </row>
    <row r="1231" spans="1:16 16384:16384" ht="15.75" thickBot="1">
      <c r="A1231" s="21"/>
      <c r="B1231" s="22"/>
      <c r="C1231" s="23"/>
      <c r="D1231" s="24" t="s">
        <v>111</v>
      </c>
      <c r="E1231" s="78"/>
      <c r="F1231" s="79"/>
      <c r="G1231" s="26">
        <f>SUM(G1223:G1230)</f>
        <v>1440.0162475000002</v>
      </c>
      <c r="H1231" s="27" t="s">
        <v>1492</v>
      </c>
      <c r="O1231" t="e">
        <f>SUM(#REF!)</f>
        <v>#REF!</v>
      </c>
      <c r="P1231" t="e">
        <f>+O1231*1.05</f>
        <v>#REF!</v>
      </c>
      <c r="XFD1231" t="e">
        <f>SUM(#REF!)</f>
        <v>#REF!</v>
      </c>
    </row>
    <row r="1232" spans="1:16 16384:16384" ht="15.75" thickTop="1">
      <c r="B1232" s="55"/>
    </row>
    <row r="1233" spans="1:16 16384:16384">
      <c r="A1233" s="64"/>
      <c r="B1233" s="370" t="s">
        <v>72</v>
      </c>
      <c r="C1233" s="370"/>
      <c r="D1233" s="370"/>
      <c r="E1233" s="370"/>
      <c r="F1233" s="370"/>
      <c r="G1233" s="370"/>
      <c r="H1233" s="370"/>
    </row>
    <row r="1234" spans="1:16 16384:16384" ht="18.75" customHeight="1">
      <c r="A1234" s="6"/>
      <c r="B1234" s="7"/>
      <c r="C1234" s="8" t="s">
        <v>98</v>
      </c>
      <c r="D1234" s="9" t="s">
        <v>39</v>
      </c>
      <c r="E1234" s="74" t="s">
        <v>99</v>
      </c>
      <c r="F1234" s="75" t="s">
        <v>100</v>
      </c>
      <c r="G1234" s="11" t="s">
        <v>101</v>
      </c>
      <c r="H1234" s="12"/>
    </row>
    <row r="1235" spans="1:16 16384:16384">
      <c r="A1235" s="13"/>
      <c r="B1235" s="67" t="s">
        <v>1611</v>
      </c>
      <c r="C1235" s="57">
        <v>1.1499999999999999</v>
      </c>
      <c r="D1235" s="57" t="s">
        <v>3</v>
      </c>
      <c r="E1235" s="76">
        <v>104.24</v>
      </c>
      <c r="F1235" s="76">
        <f>+E1235*0.18</f>
        <v>18.763199999999998</v>
      </c>
      <c r="G1235" s="17">
        <f>+C1235*E1235+C1235*F1235</f>
        <v>141.45367999999999</v>
      </c>
      <c r="H1235" s="18"/>
      <c r="K1235">
        <f>19204.66*4</f>
        <v>76818.64</v>
      </c>
    </row>
    <row r="1236" spans="1:16 16384:16384">
      <c r="A1236" s="13"/>
      <c r="B1236" s="67" t="s">
        <v>1612</v>
      </c>
      <c r="C1236" s="57">
        <v>1</v>
      </c>
      <c r="D1236" s="57" t="s">
        <v>3</v>
      </c>
      <c r="E1236" s="76">
        <v>46.61</v>
      </c>
      <c r="F1236" s="76">
        <f t="shared" ref="F1236:F1241" si="120">+E1236*0.18</f>
        <v>8.3897999999999993</v>
      </c>
      <c r="G1236" s="17">
        <f t="shared" ref="G1236:G1242" si="121">+C1236*E1236+C1236*F1236</f>
        <v>54.9998</v>
      </c>
      <c r="H1236" s="18"/>
    </row>
    <row r="1237" spans="1:16 16384:16384">
      <c r="A1237" s="13"/>
      <c r="B1237" s="67" t="s">
        <v>1613</v>
      </c>
      <c r="C1237" s="57">
        <v>40</v>
      </c>
      <c r="D1237" s="57" t="s">
        <v>855</v>
      </c>
      <c r="E1237" s="76">
        <v>9.42</v>
      </c>
      <c r="F1237" s="76">
        <f t="shared" si="120"/>
        <v>1.6956</v>
      </c>
      <c r="G1237" s="17">
        <f t="shared" si="121"/>
        <v>444.62400000000002</v>
      </c>
      <c r="H1237" s="18"/>
    </row>
    <row r="1238" spans="1:16 16384:16384">
      <c r="A1238" s="13"/>
      <c r="B1238" s="67" t="s">
        <v>1614</v>
      </c>
      <c r="C1238" s="57">
        <v>1</v>
      </c>
      <c r="D1238" s="57" t="s">
        <v>3</v>
      </c>
      <c r="E1238" s="76">
        <v>67.8</v>
      </c>
      <c r="F1238" s="76">
        <f t="shared" si="120"/>
        <v>12.203999999999999</v>
      </c>
      <c r="G1238" s="17">
        <f t="shared" si="121"/>
        <v>80.003999999999991</v>
      </c>
      <c r="H1238" s="18"/>
    </row>
    <row r="1239" spans="1:16 16384:16384">
      <c r="A1239" s="13"/>
      <c r="B1239" s="67" t="s">
        <v>1615</v>
      </c>
      <c r="C1239" s="57">
        <v>0.05</v>
      </c>
      <c r="D1239" s="57" t="s">
        <v>3</v>
      </c>
      <c r="E1239" s="76">
        <v>338.98</v>
      </c>
      <c r="F1239" s="76">
        <f t="shared" si="120"/>
        <v>61.016400000000004</v>
      </c>
      <c r="G1239" s="17">
        <f t="shared" si="121"/>
        <v>19.999820000000003</v>
      </c>
      <c r="H1239" s="18"/>
    </row>
    <row r="1240" spans="1:16 16384:16384">
      <c r="A1240" s="13"/>
      <c r="B1240" s="67" t="s">
        <v>1616</v>
      </c>
      <c r="C1240" s="57">
        <v>1.2500000000000001E-2</v>
      </c>
      <c r="D1240" s="57" t="s">
        <v>3</v>
      </c>
      <c r="E1240" s="76">
        <v>628.80999999999995</v>
      </c>
      <c r="F1240" s="76">
        <f t="shared" si="120"/>
        <v>113.18579999999999</v>
      </c>
      <c r="G1240" s="17">
        <f t="shared" si="121"/>
        <v>9.2749474999999997</v>
      </c>
      <c r="H1240" s="18"/>
    </row>
    <row r="1241" spans="1:16 16384:16384">
      <c r="A1241" s="13"/>
      <c r="B1241" s="67" t="s">
        <v>1617</v>
      </c>
      <c r="C1241" s="57">
        <v>1</v>
      </c>
      <c r="D1241" s="57" t="s">
        <v>1618</v>
      </c>
      <c r="E1241" s="76">
        <f>100/1.18</f>
        <v>84.745762711864415</v>
      </c>
      <c r="F1241" s="76">
        <f t="shared" si="120"/>
        <v>15.254237288135593</v>
      </c>
      <c r="G1241" s="17">
        <f t="shared" si="121"/>
        <v>100.00000000000001</v>
      </c>
      <c r="H1241" s="18"/>
    </row>
    <row r="1242" spans="1:16 16384:16384">
      <c r="A1242" s="13"/>
      <c r="B1242" s="67" t="s">
        <v>1619</v>
      </c>
      <c r="C1242" s="57">
        <v>1</v>
      </c>
      <c r="D1242" s="57" t="s">
        <v>3</v>
      </c>
      <c r="E1242" s="76">
        <v>589.66</v>
      </c>
      <c r="F1242" s="76"/>
      <c r="G1242" s="17">
        <f t="shared" si="121"/>
        <v>589.66</v>
      </c>
      <c r="H1242" s="18"/>
    </row>
    <row r="1243" spans="1:16 16384:16384" ht="15.75" thickBot="1">
      <c r="A1243" s="21"/>
      <c r="B1243" s="22"/>
      <c r="C1243" s="23"/>
      <c r="D1243" s="24" t="s">
        <v>111</v>
      </c>
      <c r="E1243" s="78"/>
      <c r="F1243" s="79"/>
      <c r="G1243" s="26">
        <f>SUM(G1235:G1242)</f>
        <v>1440.0162475000002</v>
      </c>
      <c r="H1243" s="27" t="s">
        <v>1492</v>
      </c>
      <c r="O1243" t="e">
        <f>SUM(#REF!)</f>
        <v>#REF!</v>
      </c>
      <c r="P1243" t="e">
        <f>+O1243*1.05</f>
        <v>#REF!</v>
      </c>
      <c r="XFD1243" t="e">
        <f>SUM(#REF!)</f>
        <v>#REF!</v>
      </c>
    </row>
    <row r="1244" spans="1:16 16384:16384" ht="15.75" thickTop="1">
      <c r="B1244" s="55"/>
    </row>
    <row r="1245" spans="1:16 16384:16384">
      <c r="A1245" s="64"/>
      <c r="B1245" s="370" t="e">
        <f>#REF!</f>
        <v>#REF!</v>
      </c>
      <c r="C1245" s="370"/>
      <c r="D1245" s="370"/>
      <c r="E1245" s="370"/>
      <c r="F1245" s="370"/>
      <c r="G1245" s="370"/>
      <c r="H1245" s="370"/>
    </row>
    <row r="1246" spans="1:16 16384:16384" ht="18.75" customHeight="1">
      <c r="A1246" s="6"/>
      <c r="B1246" s="7"/>
      <c r="C1246" s="8" t="s">
        <v>98</v>
      </c>
      <c r="D1246" s="9" t="s">
        <v>39</v>
      </c>
      <c r="E1246" s="74" t="s">
        <v>99</v>
      </c>
      <c r="F1246" s="75" t="s">
        <v>100</v>
      </c>
      <c r="G1246" s="11" t="s">
        <v>101</v>
      </c>
      <c r="H1246" s="12"/>
    </row>
    <row r="1247" spans="1:16 16384:16384">
      <c r="A1247" s="13"/>
      <c r="B1247" s="67" t="s">
        <v>1611</v>
      </c>
      <c r="C1247" s="57">
        <v>1.1499999999999999</v>
      </c>
      <c r="D1247" s="57" t="s">
        <v>3</v>
      </c>
      <c r="E1247" s="76">
        <v>104.24</v>
      </c>
      <c r="F1247" s="76">
        <f>+E1247*0.18</f>
        <v>18.763199999999998</v>
      </c>
      <c r="G1247" s="17">
        <f>+C1247*E1247+C1247*F1247</f>
        <v>141.45367999999999</v>
      </c>
      <c r="H1247" s="18"/>
      <c r="K1247">
        <f>19204.66*4</f>
        <v>76818.64</v>
      </c>
    </row>
    <row r="1248" spans="1:16 16384:16384">
      <c r="A1248" s="13"/>
      <c r="B1248" s="67" t="s">
        <v>1612</v>
      </c>
      <c r="C1248" s="57">
        <v>1</v>
      </c>
      <c r="D1248" s="57" t="s">
        <v>3</v>
      </c>
      <c r="E1248" s="76">
        <v>46.61</v>
      </c>
      <c r="F1248" s="76">
        <f t="shared" ref="F1248:F1252" si="122">+E1248*0.18</f>
        <v>8.3897999999999993</v>
      </c>
      <c r="G1248" s="17">
        <f t="shared" ref="G1248:G1253" si="123">+C1248*E1248+C1248*F1248</f>
        <v>54.9998</v>
      </c>
      <c r="H1248" s="18"/>
    </row>
    <row r="1249" spans="1:16 16384:16384">
      <c r="A1249" s="13"/>
      <c r="B1249" s="67" t="s">
        <v>1613</v>
      </c>
      <c r="C1249" s="57">
        <v>40</v>
      </c>
      <c r="D1249" s="57" t="s">
        <v>855</v>
      </c>
      <c r="E1249" s="76">
        <v>9.42</v>
      </c>
      <c r="F1249" s="76">
        <f t="shared" si="122"/>
        <v>1.6956</v>
      </c>
      <c r="G1249" s="17">
        <f t="shared" si="123"/>
        <v>444.62400000000002</v>
      </c>
      <c r="H1249" s="18"/>
    </row>
    <row r="1250" spans="1:16 16384:16384">
      <c r="A1250" s="13"/>
      <c r="B1250" s="67" t="s">
        <v>1615</v>
      </c>
      <c r="C1250" s="57">
        <v>0.05</v>
      </c>
      <c r="D1250" s="57" t="s">
        <v>3</v>
      </c>
      <c r="E1250" s="76">
        <v>338.98</v>
      </c>
      <c r="F1250" s="76">
        <f t="shared" si="122"/>
        <v>61.016400000000004</v>
      </c>
      <c r="G1250" s="17">
        <f t="shared" si="123"/>
        <v>19.999820000000003</v>
      </c>
      <c r="H1250" s="18"/>
    </row>
    <row r="1251" spans="1:16 16384:16384">
      <c r="A1251" s="13"/>
      <c r="B1251" s="67" t="s">
        <v>1616</v>
      </c>
      <c r="C1251" s="57">
        <v>1.2500000000000001E-2</v>
      </c>
      <c r="D1251" s="57" t="s">
        <v>3</v>
      </c>
      <c r="E1251" s="76">
        <v>628.80999999999995</v>
      </c>
      <c r="F1251" s="76">
        <f t="shared" si="122"/>
        <v>113.18579999999999</v>
      </c>
      <c r="G1251" s="17">
        <f t="shared" si="123"/>
        <v>9.2749474999999997</v>
      </c>
      <c r="H1251" s="18"/>
    </row>
    <row r="1252" spans="1:16 16384:16384">
      <c r="A1252" s="13"/>
      <c r="B1252" s="67" t="s">
        <v>1861</v>
      </c>
      <c r="C1252" s="57">
        <v>1</v>
      </c>
      <c r="D1252" s="57" t="s">
        <v>1618</v>
      </c>
      <c r="E1252" s="76">
        <f>1200/1.18</f>
        <v>1016.949152542373</v>
      </c>
      <c r="F1252" s="76">
        <f t="shared" si="122"/>
        <v>183.05084745762713</v>
      </c>
      <c r="G1252" s="17">
        <f t="shared" si="123"/>
        <v>1200</v>
      </c>
      <c r="H1252" s="18"/>
    </row>
    <row r="1253" spans="1:16 16384:16384">
      <c r="A1253" s="13"/>
      <c r="B1253" s="67" t="s">
        <v>1619</v>
      </c>
      <c r="C1253" s="57">
        <v>1</v>
      </c>
      <c r="D1253" s="57" t="s">
        <v>3</v>
      </c>
      <c r="E1253" s="76">
        <v>589.66</v>
      </c>
      <c r="F1253" s="76"/>
      <c r="G1253" s="17">
        <f t="shared" si="123"/>
        <v>589.66</v>
      </c>
      <c r="H1253" s="18"/>
    </row>
    <row r="1254" spans="1:16 16384:16384" ht="15.75" thickBot="1">
      <c r="A1254" s="21"/>
      <c r="B1254" s="22"/>
      <c r="C1254" s="23"/>
      <c r="D1254" s="24" t="s">
        <v>111</v>
      </c>
      <c r="E1254" s="78"/>
      <c r="F1254" s="79"/>
      <c r="G1254" s="26">
        <f>SUM(G1247:G1253)</f>
        <v>2460.0122474999998</v>
      </c>
      <c r="H1254" s="27" t="s">
        <v>1492</v>
      </c>
      <c r="O1254" t="e">
        <f>SUM(#REF!)</f>
        <v>#REF!</v>
      </c>
      <c r="P1254" t="e">
        <f>+O1254*1.05</f>
        <v>#REF!</v>
      </c>
      <c r="XFD1254" t="e">
        <f>SUM(#REF!)</f>
        <v>#REF!</v>
      </c>
    </row>
    <row r="1255" spans="1:16 16384:16384" ht="15.75" thickTop="1">
      <c r="B1255" s="55"/>
    </row>
    <row r="1256" spans="1:16 16384:16384">
      <c r="A1256" s="64"/>
      <c r="B1256" s="370" t="e">
        <f>#REF!</f>
        <v>#REF!</v>
      </c>
      <c r="C1256" s="370"/>
      <c r="D1256" s="370"/>
      <c r="E1256" s="370"/>
      <c r="F1256" s="370"/>
      <c r="G1256" s="370"/>
      <c r="H1256" s="370"/>
    </row>
    <row r="1257" spans="1:16 16384:16384" ht="18.75" customHeight="1">
      <c r="A1257" s="6"/>
      <c r="B1257" s="7"/>
      <c r="C1257" s="8" t="s">
        <v>98</v>
      </c>
      <c r="D1257" s="9" t="s">
        <v>39</v>
      </c>
      <c r="E1257" s="74" t="s">
        <v>99</v>
      </c>
      <c r="F1257" s="75" t="s">
        <v>100</v>
      </c>
      <c r="G1257" s="11" t="s">
        <v>101</v>
      </c>
      <c r="H1257" s="12"/>
    </row>
    <row r="1258" spans="1:16 16384:16384">
      <c r="A1258" s="13"/>
      <c r="B1258" s="67" t="s">
        <v>1611</v>
      </c>
      <c r="C1258" s="57">
        <v>1.1499999999999999</v>
      </c>
      <c r="D1258" s="57" t="s">
        <v>3</v>
      </c>
      <c r="E1258" s="76">
        <v>104.24</v>
      </c>
      <c r="F1258" s="76">
        <f>+E1258*0.18</f>
        <v>18.763199999999998</v>
      </c>
      <c r="G1258" s="17">
        <f>+C1258*E1258+C1258*F1258</f>
        <v>141.45367999999999</v>
      </c>
      <c r="H1258" s="18"/>
      <c r="K1258">
        <f>19204.66*4</f>
        <v>76818.64</v>
      </c>
    </row>
    <row r="1259" spans="1:16 16384:16384">
      <c r="A1259" s="13"/>
      <c r="B1259" s="67" t="s">
        <v>1612</v>
      </c>
      <c r="C1259" s="57">
        <v>1</v>
      </c>
      <c r="D1259" s="57" t="s">
        <v>3</v>
      </c>
      <c r="E1259" s="76">
        <v>46.61</v>
      </c>
      <c r="F1259" s="76">
        <f t="shared" ref="F1259:F1264" si="124">+E1259*0.18</f>
        <v>8.3897999999999993</v>
      </c>
      <c r="G1259" s="17">
        <f t="shared" ref="G1259:G1265" si="125">+C1259*E1259+C1259*F1259</f>
        <v>54.9998</v>
      </c>
      <c r="H1259" s="18"/>
    </row>
    <row r="1260" spans="1:16 16384:16384">
      <c r="A1260" s="13"/>
      <c r="B1260" s="67" t="s">
        <v>1613</v>
      </c>
      <c r="C1260" s="57">
        <v>40</v>
      </c>
      <c r="D1260" s="57" t="s">
        <v>855</v>
      </c>
      <c r="E1260" s="76">
        <v>9.42</v>
      </c>
      <c r="F1260" s="76">
        <f t="shared" si="124"/>
        <v>1.6956</v>
      </c>
      <c r="G1260" s="17">
        <f t="shared" si="125"/>
        <v>444.62400000000002</v>
      </c>
      <c r="H1260" s="18"/>
    </row>
    <row r="1261" spans="1:16 16384:16384">
      <c r="A1261" s="13"/>
      <c r="B1261" s="67" t="s">
        <v>1614</v>
      </c>
      <c r="C1261" s="57">
        <v>1</v>
      </c>
      <c r="D1261" s="57" t="s">
        <v>3</v>
      </c>
      <c r="E1261" s="76">
        <v>67.8</v>
      </c>
      <c r="F1261" s="76">
        <f t="shared" si="124"/>
        <v>12.203999999999999</v>
      </c>
      <c r="G1261" s="17">
        <f t="shared" si="125"/>
        <v>80.003999999999991</v>
      </c>
      <c r="H1261" s="18"/>
    </row>
    <row r="1262" spans="1:16 16384:16384">
      <c r="A1262" s="13"/>
      <c r="B1262" s="67" t="s">
        <v>1615</v>
      </c>
      <c r="C1262" s="57">
        <v>0.05</v>
      </c>
      <c r="D1262" s="57" t="s">
        <v>3</v>
      </c>
      <c r="E1262" s="76">
        <v>338.98</v>
      </c>
      <c r="F1262" s="76">
        <f t="shared" si="124"/>
        <v>61.016400000000004</v>
      </c>
      <c r="G1262" s="17">
        <f t="shared" si="125"/>
        <v>19.999820000000003</v>
      </c>
      <c r="H1262" s="18"/>
    </row>
    <row r="1263" spans="1:16 16384:16384">
      <c r="A1263" s="13"/>
      <c r="B1263" s="67" t="s">
        <v>1616</v>
      </c>
      <c r="C1263" s="57">
        <v>1.2500000000000001E-2</v>
      </c>
      <c r="D1263" s="57" t="s">
        <v>3</v>
      </c>
      <c r="E1263" s="76">
        <v>628.80999999999995</v>
      </c>
      <c r="F1263" s="76">
        <f t="shared" si="124"/>
        <v>113.18579999999999</v>
      </c>
      <c r="G1263" s="17">
        <f t="shared" si="125"/>
        <v>9.2749474999999997</v>
      </c>
      <c r="H1263" s="18"/>
    </row>
    <row r="1264" spans="1:16 16384:16384">
      <c r="A1264" s="13"/>
      <c r="B1264" s="67" t="s">
        <v>1862</v>
      </c>
      <c r="C1264" s="57">
        <v>1</v>
      </c>
      <c r="D1264" s="57" t="s">
        <v>1618</v>
      </c>
      <c r="E1264" s="76">
        <f>320/1.18</f>
        <v>271.18644067796612</v>
      </c>
      <c r="F1264" s="76">
        <f t="shared" si="124"/>
        <v>48.813559322033896</v>
      </c>
      <c r="G1264" s="17">
        <f t="shared" si="125"/>
        <v>320</v>
      </c>
      <c r="H1264" s="18"/>
    </row>
    <row r="1265" spans="1:16 16384:16384">
      <c r="A1265" s="13"/>
      <c r="B1265" s="67" t="s">
        <v>1619</v>
      </c>
      <c r="C1265" s="57">
        <v>1</v>
      </c>
      <c r="D1265" s="57" t="s">
        <v>3</v>
      </c>
      <c r="E1265" s="76">
        <v>589.66</v>
      </c>
      <c r="F1265" s="76"/>
      <c r="G1265" s="17">
        <f t="shared" si="125"/>
        <v>589.66</v>
      </c>
      <c r="H1265" s="18"/>
    </row>
    <row r="1266" spans="1:16 16384:16384" ht="15.75" thickBot="1">
      <c r="A1266" s="21"/>
      <c r="B1266" s="22"/>
      <c r="C1266" s="23"/>
      <c r="D1266" s="24" t="s">
        <v>111</v>
      </c>
      <c r="E1266" s="78"/>
      <c r="F1266" s="79"/>
      <c r="G1266" s="26">
        <f>SUM(G1258:G1265)</f>
        <v>1660.0162475000002</v>
      </c>
      <c r="H1266" s="27" t="s">
        <v>1492</v>
      </c>
      <c r="O1266" t="e">
        <f>SUM(#REF!)</f>
        <v>#REF!</v>
      </c>
      <c r="P1266" t="e">
        <f>+O1266*1.05</f>
        <v>#REF!</v>
      </c>
      <c r="XFD1266" t="e">
        <f>SUM(#REF!)</f>
        <v>#REF!</v>
      </c>
    </row>
    <row r="1267" spans="1:16 16384:16384" ht="15.75" thickTop="1">
      <c r="B1267" s="55"/>
    </row>
    <row r="1268" spans="1:16 16384:16384">
      <c r="A1268" s="64"/>
      <c r="B1268" s="370" t="e">
        <f>#REF!</f>
        <v>#REF!</v>
      </c>
      <c r="C1268" s="370"/>
      <c r="D1268" s="370"/>
      <c r="E1268" s="370"/>
      <c r="F1268" s="370"/>
      <c r="G1268" s="370"/>
      <c r="H1268" s="370"/>
    </row>
    <row r="1269" spans="1:16 16384:16384" ht="18.75" customHeight="1">
      <c r="A1269" s="6"/>
      <c r="B1269" s="7"/>
      <c r="C1269" s="8" t="s">
        <v>98</v>
      </c>
      <c r="D1269" s="9" t="s">
        <v>39</v>
      </c>
      <c r="E1269" s="74" t="s">
        <v>99</v>
      </c>
      <c r="F1269" s="75" t="s">
        <v>100</v>
      </c>
      <c r="G1269" s="11" t="s">
        <v>101</v>
      </c>
      <c r="H1269" s="12"/>
    </row>
    <row r="1270" spans="1:16 16384:16384">
      <c r="A1270" s="13"/>
      <c r="B1270" s="67" t="s">
        <v>1611</v>
      </c>
      <c r="C1270" s="57">
        <v>1.1499999999999999</v>
      </c>
      <c r="D1270" s="57" t="s">
        <v>3</v>
      </c>
      <c r="E1270" s="76">
        <v>104.24</v>
      </c>
      <c r="F1270" s="76">
        <f>+E1270*0.18</f>
        <v>18.763199999999998</v>
      </c>
      <c r="G1270" s="17">
        <f>+C1270*E1270+C1270*F1270</f>
        <v>141.45367999999999</v>
      </c>
      <c r="H1270" s="18"/>
      <c r="K1270">
        <f>19204.66*4</f>
        <v>76818.64</v>
      </c>
    </row>
    <row r="1271" spans="1:16 16384:16384">
      <c r="A1271" s="13"/>
      <c r="B1271" s="67" t="s">
        <v>1620</v>
      </c>
      <c r="C1271" s="57">
        <v>1</v>
      </c>
      <c r="D1271" s="57" t="s">
        <v>3</v>
      </c>
      <c r="E1271" s="76">
        <v>38.46</v>
      </c>
      <c r="F1271" s="76">
        <f t="shared" ref="F1271:F1276" si="126">+E1271*0.18</f>
        <v>6.9227999999999996</v>
      </c>
      <c r="G1271" s="17">
        <f t="shared" ref="G1271:G1277" si="127">+C1271*E1271+C1271*F1271</f>
        <v>45.382800000000003</v>
      </c>
      <c r="H1271" s="18"/>
    </row>
    <row r="1272" spans="1:16 16384:16384">
      <c r="A1272" s="13"/>
      <c r="B1272" s="67" t="s">
        <v>1613</v>
      </c>
      <c r="C1272" s="57">
        <v>60</v>
      </c>
      <c r="D1272" s="57" t="s">
        <v>855</v>
      </c>
      <c r="E1272" s="76">
        <v>9.42</v>
      </c>
      <c r="F1272" s="76">
        <f t="shared" si="126"/>
        <v>1.6956</v>
      </c>
      <c r="G1272" s="17">
        <f t="shared" si="127"/>
        <v>666.93600000000004</v>
      </c>
      <c r="H1272" s="18"/>
    </row>
    <row r="1273" spans="1:16 16384:16384">
      <c r="A1273" s="13"/>
      <c r="B1273" s="67" t="s">
        <v>1624</v>
      </c>
      <c r="C1273" s="57">
        <v>1</v>
      </c>
      <c r="D1273" s="57" t="s">
        <v>3</v>
      </c>
      <c r="E1273" s="76">
        <v>216.1</v>
      </c>
      <c r="F1273" s="76">
        <f t="shared" si="126"/>
        <v>38.897999999999996</v>
      </c>
      <c r="G1273" s="17">
        <f t="shared" si="127"/>
        <v>254.99799999999999</v>
      </c>
      <c r="H1273" s="18"/>
    </row>
    <row r="1274" spans="1:16 16384:16384">
      <c r="A1274" s="13"/>
      <c r="B1274" s="67" t="s">
        <v>1622</v>
      </c>
      <c r="C1274" s="57">
        <v>1</v>
      </c>
      <c r="D1274" s="57" t="s">
        <v>3</v>
      </c>
      <c r="E1274" s="76">
        <v>16.100000000000001</v>
      </c>
      <c r="F1274" s="76">
        <f t="shared" si="126"/>
        <v>2.8980000000000001</v>
      </c>
      <c r="G1274" s="17">
        <f t="shared" si="127"/>
        <v>18.998000000000001</v>
      </c>
      <c r="H1274" s="18"/>
    </row>
    <row r="1275" spans="1:16 16384:16384">
      <c r="A1275" s="13"/>
      <c r="B1275" s="67" t="s">
        <v>1615</v>
      </c>
      <c r="C1275" s="57">
        <v>0.05</v>
      </c>
      <c r="D1275" s="57" t="s">
        <v>3</v>
      </c>
      <c r="E1275" s="76">
        <v>338.98</v>
      </c>
      <c r="F1275" s="76">
        <f t="shared" si="126"/>
        <v>61.016400000000004</v>
      </c>
      <c r="G1275" s="17">
        <f t="shared" si="127"/>
        <v>19.999820000000003</v>
      </c>
      <c r="H1275" s="18"/>
    </row>
    <row r="1276" spans="1:16 16384:16384">
      <c r="A1276" s="13"/>
      <c r="B1276" s="67" t="s">
        <v>1623</v>
      </c>
      <c r="C1276" s="57">
        <v>1.2500000000000001E-2</v>
      </c>
      <c r="D1276" s="57" t="s">
        <v>3</v>
      </c>
      <c r="E1276" s="76">
        <v>628.80999999999995</v>
      </c>
      <c r="F1276" s="76">
        <f t="shared" si="126"/>
        <v>113.18579999999999</v>
      </c>
      <c r="G1276" s="17">
        <f t="shared" si="127"/>
        <v>9.2749474999999997</v>
      </c>
      <c r="H1276" s="18"/>
    </row>
    <row r="1277" spans="1:16 16384:16384">
      <c r="A1277" s="13"/>
      <c r="B1277" s="67" t="s">
        <v>1619</v>
      </c>
      <c r="C1277" s="57">
        <v>1</v>
      </c>
      <c r="D1277" s="57" t="s">
        <v>3</v>
      </c>
      <c r="E1277" s="76">
        <v>714</v>
      </c>
      <c r="F1277" s="76"/>
      <c r="G1277" s="17">
        <f t="shared" si="127"/>
        <v>714</v>
      </c>
      <c r="H1277" s="18"/>
    </row>
    <row r="1278" spans="1:16 16384:16384" ht="15.75" thickBot="1">
      <c r="A1278" s="21"/>
      <c r="B1278" s="22"/>
      <c r="C1278" s="23"/>
      <c r="D1278" s="24" t="s">
        <v>111</v>
      </c>
      <c r="E1278" s="78"/>
      <c r="F1278" s="79"/>
      <c r="G1278" s="26">
        <f>SUM(G1270:G1277)</f>
        <v>1871.0432475000002</v>
      </c>
      <c r="H1278" s="27" t="s">
        <v>1492</v>
      </c>
      <c r="O1278" t="e">
        <f>SUM(#REF!)</f>
        <v>#REF!</v>
      </c>
      <c r="P1278" t="e">
        <f>+O1278*1.05</f>
        <v>#REF!</v>
      </c>
      <c r="XFD1278" t="e">
        <f>SUM(XFD1285:XFD1290)</f>
        <v>#REF!</v>
      </c>
    </row>
    <row r="1279" spans="1:16 16384:16384" ht="15.75" thickTop="1">
      <c r="B1279" s="55"/>
    </row>
    <row r="1280" spans="1:16 16384:16384">
      <c r="A1280" s="64"/>
      <c r="B1280" s="370" t="e">
        <f>#REF!</f>
        <v>#REF!</v>
      </c>
      <c r="C1280" s="370"/>
      <c r="D1280" s="370"/>
      <c r="E1280" s="370"/>
      <c r="F1280" s="370"/>
      <c r="G1280" s="370"/>
      <c r="H1280" s="370"/>
    </row>
    <row r="1281" spans="1:16 16384:16384" ht="18.75" customHeight="1">
      <c r="A1281" s="6"/>
      <c r="B1281" s="7"/>
      <c r="C1281" s="8" t="s">
        <v>98</v>
      </c>
      <c r="D1281" s="9" t="s">
        <v>39</v>
      </c>
      <c r="E1281" s="74" t="s">
        <v>99</v>
      </c>
      <c r="F1281" s="75" t="s">
        <v>100</v>
      </c>
      <c r="G1281" s="11" t="s">
        <v>101</v>
      </c>
      <c r="H1281" s="12"/>
    </row>
    <row r="1282" spans="1:16 16384:16384">
      <c r="A1282" s="13"/>
      <c r="B1282" s="67" t="s">
        <v>1611</v>
      </c>
      <c r="C1282" s="57">
        <v>1.1499999999999999</v>
      </c>
      <c r="D1282" s="57" t="s">
        <v>3</v>
      </c>
      <c r="E1282" s="76">
        <v>104.24</v>
      </c>
      <c r="F1282" s="76">
        <f>+E1282*0.18</f>
        <v>18.763199999999998</v>
      </c>
      <c r="G1282" s="17">
        <f>+C1282*E1282+C1282*F1282</f>
        <v>141.45367999999999</v>
      </c>
      <c r="H1282" s="18"/>
      <c r="K1282">
        <f>19204.66*4</f>
        <v>76818.64</v>
      </c>
    </row>
    <row r="1283" spans="1:16 16384:16384">
      <c r="A1283" s="13"/>
      <c r="B1283" s="67" t="s">
        <v>1620</v>
      </c>
      <c r="C1283" s="57">
        <v>1</v>
      </c>
      <c r="D1283" s="57" t="s">
        <v>3</v>
      </c>
      <c r="E1283" s="76">
        <v>38.46</v>
      </c>
      <c r="F1283" s="76">
        <f t="shared" ref="F1283:F1288" si="128">+E1283*0.18</f>
        <v>6.9227999999999996</v>
      </c>
      <c r="G1283" s="17">
        <f t="shared" ref="G1283:G1289" si="129">+C1283*E1283+C1283*F1283</f>
        <v>45.382800000000003</v>
      </c>
      <c r="H1283" s="18"/>
    </row>
    <row r="1284" spans="1:16 16384:16384">
      <c r="A1284" s="13"/>
      <c r="B1284" s="67" t="s">
        <v>1613</v>
      </c>
      <c r="C1284" s="57">
        <v>40</v>
      </c>
      <c r="D1284" s="57" t="s">
        <v>855</v>
      </c>
      <c r="E1284" s="76">
        <v>9.42</v>
      </c>
      <c r="F1284" s="76">
        <f t="shared" si="128"/>
        <v>1.6956</v>
      </c>
      <c r="G1284" s="17">
        <f t="shared" si="129"/>
        <v>444.62400000000002</v>
      </c>
      <c r="H1284" s="18"/>
    </row>
    <row r="1285" spans="1:16 16384:16384">
      <c r="A1285" s="13"/>
      <c r="B1285" s="67" t="s">
        <v>1621</v>
      </c>
      <c r="C1285" s="57">
        <v>1</v>
      </c>
      <c r="D1285" s="57" t="s">
        <v>3</v>
      </c>
      <c r="E1285" s="76">
        <v>143.22</v>
      </c>
      <c r="F1285" s="76">
        <f t="shared" si="128"/>
        <v>25.779599999999999</v>
      </c>
      <c r="G1285" s="17">
        <f t="shared" si="129"/>
        <v>168.99959999999999</v>
      </c>
      <c r="H1285" s="18"/>
    </row>
    <row r="1286" spans="1:16 16384:16384">
      <c r="A1286" s="13"/>
      <c r="B1286" s="67" t="s">
        <v>1622</v>
      </c>
      <c r="C1286" s="57">
        <v>1</v>
      </c>
      <c r="D1286" s="57" t="s">
        <v>3</v>
      </c>
      <c r="E1286" s="76">
        <v>16.100000000000001</v>
      </c>
      <c r="F1286" s="76">
        <f t="shared" si="128"/>
        <v>2.8980000000000001</v>
      </c>
      <c r="G1286" s="17">
        <f t="shared" si="129"/>
        <v>18.998000000000001</v>
      </c>
      <c r="H1286" s="18"/>
    </row>
    <row r="1287" spans="1:16 16384:16384">
      <c r="A1287" s="13"/>
      <c r="B1287" s="67" t="s">
        <v>1615</v>
      </c>
      <c r="C1287" s="57">
        <v>0.05</v>
      </c>
      <c r="D1287" s="57" t="s">
        <v>3</v>
      </c>
      <c r="E1287" s="76">
        <v>338.98</v>
      </c>
      <c r="F1287" s="76">
        <f t="shared" si="128"/>
        <v>61.016400000000004</v>
      </c>
      <c r="G1287" s="17">
        <f t="shared" si="129"/>
        <v>19.999820000000003</v>
      </c>
      <c r="H1287" s="18"/>
    </row>
    <row r="1288" spans="1:16 16384:16384">
      <c r="A1288" s="13"/>
      <c r="B1288" s="67" t="s">
        <v>1623</v>
      </c>
      <c r="C1288" s="57">
        <v>1.2500000000000001E-2</v>
      </c>
      <c r="D1288" s="57" t="s">
        <v>3</v>
      </c>
      <c r="E1288" s="76">
        <v>628.80999999999995</v>
      </c>
      <c r="F1288" s="76">
        <f t="shared" si="128"/>
        <v>113.18579999999999</v>
      </c>
      <c r="G1288" s="17">
        <f t="shared" si="129"/>
        <v>9.2749474999999997</v>
      </c>
      <c r="H1288" s="18"/>
    </row>
    <row r="1289" spans="1:16 16384:16384">
      <c r="A1289" s="13"/>
      <c r="B1289" s="67" t="s">
        <v>1619</v>
      </c>
      <c r="C1289" s="57">
        <v>1</v>
      </c>
      <c r="D1289" s="57" t="s">
        <v>3</v>
      </c>
      <c r="E1289" s="76">
        <v>589.66</v>
      </c>
      <c r="F1289" s="76"/>
      <c r="G1289" s="17">
        <f t="shared" si="129"/>
        <v>589.66</v>
      </c>
      <c r="H1289" s="18"/>
    </row>
    <row r="1290" spans="1:16 16384:16384" ht="15.75" thickBot="1">
      <c r="A1290" s="21"/>
      <c r="B1290" s="22"/>
      <c r="C1290" s="23"/>
      <c r="D1290" s="24" t="s">
        <v>111</v>
      </c>
      <c r="E1290" s="78"/>
      <c r="F1290" s="79"/>
      <c r="G1290" s="26">
        <f>SUM(G1282:G1289)</f>
        <v>1438.3928475</v>
      </c>
      <c r="H1290" s="27" t="s">
        <v>1492</v>
      </c>
      <c r="O1290" t="e">
        <f>SUM(#REF!)</f>
        <v>#REF!</v>
      </c>
      <c r="P1290" t="e">
        <f>+O1290*1.05</f>
        <v>#REF!</v>
      </c>
      <c r="XFD1290" t="e">
        <f>SUM(XFD1226:XFD1289)</f>
        <v>#REF!</v>
      </c>
    </row>
    <row r="1291" spans="1:16 16384:16384" ht="15.75" thickTop="1">
      <c r="B1291" s="55"/>
    </row>
    <row r="1292" spans="1:16 16384:16384">
      <c r="A1292" s="64"/>
      <c r="B1292" s="370" t="e">
        <f>#REF!</f>
        <v>#REF!</v>
      </c>
      <c r="C1292" s="370"/>
      <c r="D1292" s="370"/>
      <c r="E1292" s="370"/>
      <c r="F1292" s="370"/>
      <c r="G1292" s="370"/>
      <c r="H1292" s="370"/>
    </row>
    <row r="1293" spans="1:16 16384:16384" ht="18.75" customHeight="1">
      <c r="A1293" s="6"/>
      <c r="B1293" s="7"/>
      <c r="C1293" s="8" t="s">
        <v>98</v>
      </c>
      <c r="D1293" s="9" t="s">
        <v>39</v>
      </c>
      <c r="E1293" s="74" t="s">
        <v>99</v>
      </c>
      <c r="F1293" s="75" t="s">
        <v>100</v>
      </c>
      <c r="G1293" s="11" t="s">
        <v>101</v>
      </c>
      <c r="H1293" s="12"/>
    </row>
    <row r="1294" spans="1:16 16384:16384">
      <c r="A1294" s="13"/>
      <c r="B1294" s="67" t="s">
        <v>1863</v>
      </c>
      <c r="C1294" s="57">
        <v>2.2999999999999998</v>
      </c>
      <c r="D1294" s="57" t="s">
        <v>3</v>
      </c>
      <c r="E1294" s="76">
        <v>148.31</v>
      </c>
      <c r="F1294" s="76">
        <f>+E1294*0.18</f>
        <v>26.695799999999998</v>
      </c>
      <c r="G1294" s="17">
        <f>+C1294*E1294+C1294*F1294</f>
        <v>402.51333999999997</v>
      </c>
      <c r="H1294" s="18"/>
      <c r="K1294">
        <f>19204.66*4</f>
        <v>76818.64</v>
      </c>
    </row>
    <row r="1295" spans="1:16 16384:16384">
      <c r="A1295" s="13"/>
      <c r="B1295" s="67" t="s">
        <v>1864</v>
      </c>
      <c r="C1295" s="57">
        <v>1</v>
      </c>
      <c r="D1295" s="57" t="s">
        <v>3</v>
      </c>
      <c r="E1295" s="76">
        <v>32.700000000000003</v>
      </c>
      <c r="F1295" s="76">
        <f t="shared" ref="F1295:F1300" si="130">+E1295*0.18</f>
        <v>5.8860000000000001</v>
      </c>
      <c r="G1295" s="17">
        <f t="shared" ref="G1295:G1302" si="131">+C1295*E1295+C1295*F1295</f>
        <v>38.586000000000006</v>
      </c>
      <c r="H1295" s="18"/>
    </row>
    <row r="1296" spans="1:16 16384:16384">
      <c r="A1296" s="13"/>
      <c r="B1296" s="67" t="s">
        <v>1865</v>
      </c>
      <c r="C1296" s="57">
        <v>84</v>
      </c>
      <c r="D1296" s="57" t="s">
        <v>855</v>
      </c>
      <c r="E1296" s="76">
        <v>17.71</v>
      </c>
      <c r="F1296" s="76">
        <f t="shared" si="130"/>
        <v>3.1878000000000002</v>
      </c>
      <c r="G1296" s="17">
        <f t="shared" si="131"/>
        <v>1755.4152000000001</v>
      </c>
      <c r="H1296" s="18"/>
    </row>
    <row r="1297" spans="1:16 16384:16384">
      <c r="A1297" s="13"/>
      <c r="B1297" s="67" t="s">
        <v>1866</v>
      </c>
      <c r="C1297" s="57">
        <v>42</v>
      </c>
      <c r="D1297" s="57" t="s">
        <v>855</v>
      </c>
      <c r="E1297" s="76">
        <v>9.42</v>
      </c>
      <c r="F1297" s="76">
        <f t="shared" si="130"/>
        <v>1.6956</v>
      </c>
      <c r="G1297" s="17">
        <f t="shared" si="131"/>
        <v>466.85519999999997</v>
      </c>
      <c r="H1297" s="18"/>
    </row>
    <row r="1298" spans="1:16 16384:16384">
      <c r="A1298" s="13"/>
      <c r="B1298" s="67" t="s">
        <v>1867</v>
      </c>
      <c r="C1298" s="57">
        <v>1</v>
      </c>
      <c r="D1298" s="57" t="s">
        <v>3</v>
      </c>
      <c r="E1298" s="76">
        <v>133.9</v>
      </c>
      <c r="F1298" s="76">
        <f t="shared" si="130"/>
        <v>24.102</v>
      </c>
      <c r="G1298" s="17">
        <f t="shared" si="131"/>
        <v>158.00200000000001</v>
      </c>
      <c r="H1298" s="18"/>
    </row>
    <row r="1299" spans="1:16 16384:16384">
      <c r="A1299" s="13"/>
      <c r="B1299" s="67" t="s">
        <v>1868</v>
      </c>
      <c r="C1299" s="57">
        <v>2</v>
      </c>
      <c r="D1299" s="57" t="s">
        <v>3</v>
      </c>
      <c r="E1299" s="76">
        <v>32.200000000000003</v>
      </c>
      <c r="F1299" s="76">
        <f t="shared" si="130"/>
        <v>5.7960000000000003</v>
      </c>
      <c r="G1299" s="17">
        <f t="shared" si="131"/>
        <v>75.992000000000004</v>
      </c>
      <c r="H1299" s="18"/>
    </row>
    <row r="1300" spans="1:16 16384:16384">
      <c r="A1300" s="13"/>
      <c r="B1300" s="67" t="s">
        <v>1615</v>
      </c>
      <c r="C1300" s="57">
        <v>0.05</v>
      </c>
      <c r="D1300" s="57" t="s">
        <v>3</v>
      </c>
      <c r="E1300" s="76">
        <v>338.98</v>
      </c>
      <c r="F1300" s="76">
        <f t="shared" si="130"/>
        <v>61.016400000000004</v>
      </c>
      <c r="G1300" s="17">
        <f t="shared" si="131"/>
        <v>19.999820000000003</v>
      </c>
      <c r="H1300" s="18"/>
    </row>
    <row r="1301" spans="1:16 16384:16384">
      <c r="A1301" s="13"/>
      <c r="B1301" s="67" t="s">
        <v>1616</v>
      </c>
      <c r="C1301" s="57">
        <v>1.2500000000000001E-2</v>
      </c>
      <c r="D1301" s="57" t="s">
        <v>3</v>
      </c>
      <c r="E1301" s="76">
        <v>628.80999999999995</v>
      </c>
      <c r="F1301" s="76"/>
      <c r="G1301" s="17">
        <f t="shared" si="131"/>
        <v>7.860125</v>
      </c>
      <c r="H1301" s="18"/>
    </row>
    <row r="1302" spans="1:16 16384:16384">
      <c r="A1302" s="13"/>
      <c r="B1302" s="67" t="s">
        <v>1869</v>
      </c>
      <c r="C1302" s="57">
        <v>1</v>
      </c>
      <c r="D1302" s="57" t="s">
        <v>3</v>
      </c>
      <c r="E1302" s="76">
        <v>714.47</v>
      </c>
      <c r="F1302" s="76"/>
      <c r="G1302" s="17">
        <f t="shared" si="131"/>
        <v>714.47</v>
      </c>
      <c r="H1302" s="18"/>
    </row>
    <row r="1303" spans="1:16 16384:16384" ht="15.75" thickBot="1">
      <c r="A1303" s="21"/>
      <c r="B1303" s="22"/>
      <c r="C1303" s="23"/>
      <c r="D1303" s="24" t="s">
        <v>111</v>
      </c>
      <c r="E1303" s="78"/>
      <c r="F1303" s="79"/>
      <c r="G1303" s="26">
        <f>SUM(G1294:G1302)</f>
        <v>3639.6936850000002</v>
      </c>
      <c r="H1303" s="27" t="s">
        <v>1492</v>
      </c>
      <c r="O1303" t="e">
        <f>SUM(#REF!)</f>
        <v>#REF!</v>
      </c>
      <c r="P1303" t="e">
        <f>+O1303*1.05</f>
        <v>#REF!</v>
      </c>
      <c r="XFD1303">
        <f>SUM(XFD1291:XFD1301)</f>
        <v>0</v>
      </c>
    </row>
    <row r="1304" spans="1:16 16384:16384" ht="15.75" thickTop="1">
      <c r="B1304" s="55"/>
    </row>
    <row r="1305" spans="1:16 16384:16384">
      <c r="A1305" s="64"/>
      <c r="B1305" s="370" t="e">
        <f>#REF!</f>
        <v>#REF!</v>
      </c>
      <c r="C1305" s="370"/>
      <c r="D1305" s="370"/>
      <c r="E1305" s="370"/>
      <c r="F1305" s="370"/>
      <c r="G1305" s="370"/>
      <c r="H1305" s="370"/>
    </row>
    <row r="1306" spans="1:16 16384:16384" ht="18.75" customHeight="1">
      <c r="A1306" s="6"/>
      <c r="B1306" s="7"/>
      <c r="C1306" s="8" t="s">
        <v>98</v>
      </c>
      <c r="D1306" s="9" t="s">
        <v>39</v>
      </c>
      <c r="E1306" s="74" t="s">
        <v>99</v>
      </c>
      <c r="F1306" s="75" t="s">
        <v>100</v>
      </c>
      <c r="G1306" s="11" t="s">
        <v>101</v>
      </c>
      <c r="H1306" s="12"/>
    </row>
    <row r="1307" spans="1:16 16384:16384">
      <c r="A1307" s="13"/>
      <c r="B1307" s="67" t="s">
        <v>1611</v>
      </c>
      <c r="C1307" s="57">
        <v>1</v>
      </c>
      <c r="D1307" s="57" t="s">
        <v>3</v>
      </c>
      <c r="E1307" s="76">
        <v>104.24</v>
      </c>
      <c r="F1307" s="76">
        <f>+E1307*0.18</f>
        <v>18.763199999999998</v>
      </c>
      <c r="G1307" s="17">
        <f>+C1307*E1307+C1307*F1307</f>
        <v>123.00319999999999</v>
      </c>
      <c r="H1307" s="18"/>
      <c r="K1307">
        <f>19204.66*4</f>
        <v>76818.64</v>
      </c>
    </row>
    <row r="1308" spans="1:16 16384:16384">
      <c r="A1308" s="13"/>
      <c r="B1308" s="67" t="s">
        <v>1620</v>
      </c>
      <c r="C1308" s="57">
        <v>1</v>
      </c>
      <c r="D1308" s="57" t="s">
        <v>3</v>
      </c>
      <c r="E1308" s="76">
        <v>38.46</v>
      </c>
      <c r="F1308" s="76">
        <f t="shared" ref="F1308:F1313" si="132">+E1308*0.18</f>
        <v>6.9227999999999996</v>
      </c>
      <c r="G1308" s="17">
        <f t="shared" ref="G1308:G1314" si="133">+C1308*E1308+C1308*F1308</f>
        <v>45.382800000000003</v>
      </c>
      <c r="H1308" s="18"/>
    </row>
    <row r="1309" spans="1:16 16384:16384">
      <c r="A1309" s="13"/>
      <c r="B1309" s="67" t="s">
        <v>1625</v>
      </c>
      <c r="C1309" s="57">
        <v>63</v>
      </c>
      <c r="D1309" s="57" t="s">
        <v>855</v>
      </c>
      <c r="E1309" s="76">
        <v>9.42</v>
      </c>
      <c r="F1309" s="76">
        <f t="shared" si="132"/>
        <v>1.6956</v>
      </c>
      <c r="G1309" s="17">
        <f t="shared" si="133"/>
        <v>700.28280000000007</v>
      </c>
      <c r="H1309" s="18"/>
    </row>
    <row r="1310" spans="1:16 16384:16384">
      <c r="A1310" s="13"/>
      <c r="B1310" s="67" t="s">
        <v>1626</v>
      </c>
      <c r="C1310" s="57">
        <v>1</v>
      </c>
      <c r="D1310" s="57" t="s">
        <v>3</v>
      </c>
      <c r="E1310" s="76">
        <v>133.9</v>
      </c>
      <c r="F1310" s="76">
        <f t="shared" si="132"/>
        <v>24.102</v>
      </c>
      <c r="G1310" s="17">
        <f t="shared" si="133"/>
        <v>158.00200000000001</v>
      </c>
      <c r="H1310" s="18"/>
    </row>
    <row r="1311" spans="1:16 16384:16384">
      <c r="A1311" s="13"/>
      <c r="B1311" s="67" t="s">
        <v>1622</v>
      </c>
      <c r="C1311" s="57">
        <v>2</v>
      </c>
      <c r="D1311" s="57" t="s">
        <v>3</v>
      </c>
      <c r="E1311" s="76">
        <v>16.100000000000001</v>
      </c>
      <c r="F1311" s="76">
        <f t="shared" si="132"/>
        <v>2.8980000000000001</v>
      </c>
      <c r="G1311" s="17">
        <f t="shared" si="133"/>
        <v>37.996000000000002</v>
      </c>
      <c r="H1311" s="18"/>
    </row>
    <row r="1312" spans="1:16 16384:16384">
      <c r="A1312" s="13"/>
      <c r="B1312" s="67" t="s">
        <v>1615</v>
      </c>
      <c r="C1312" s="57">
        <v>0.05</v>
      </c>
      <c r="D1312" s="57" t="s">
        <v>3</v>
      </c>
      <c r="E1312" s="76">
        <v>338.98</v>
      </c>
      <c r="F1312" s="76">
        <f t="shared" si="132"/>
        <v>61.016400000000004</v>
      </c>
      <c r="G1312" s="17">
        <f t="shared" si="133"/>
        <v>19.999820000000003</v>
      </c>
      <c r="H1312" s="18"/>
    </row>
    <row r="1313" spans="1:16 16384:16384">
      <c r="A1313" s="13"/>
      <c r="B1313" s="67" t="s">
        <v>1623</v>
      </c>
      <c r="C1313" s="57">
        <v>1.2500000000000001E-2</v>
      </c>
      <c r="D1313" s="57" t="s">
        <v>3</v>
      </c>
      <c r="E1313" s="76">
        <v>628.80999999999995</v>
      </c>
      <c r="F1313" s="76">
        <f t="shared" si="132"/>
        <v>113.18579999999999</v>
      </c>
      <c r="G1313" s="17">
        <f t="shared" si="133"/>
        <v>9.2749474999999997</v>
      </c>
      <c r="H1313" s="18"/>
    </row>
    <row r="1314" spans="1:16 16384:16384">
      <c r="A1314" s="13"/>
      <c r="B1314" s="67" t="s">
        <v>1619</v>
      </c>
      <c r="C1314" s="57">
        <v>1</v>
      </c>
      <c r="D1314" s="57" t="s">
        <v>3</v>
      </c>
      <c r="E1314" s="76">
        <v>589</v>
      </c>
      <c r="F1314" s="76"/>
      <c r="G1314" s="17">
        <f t="shared" si="133"/>
        <v>589</v>
      </c>
      <c r="H1314" s="18"/>
    </row>
    <row r="1315" spans="1:16 16384:16384" ht="15.75" thickBot="1">
      <c r="A1315" s="21"/>
      <c r="B1315" s="22"/>
      <c r="C1315" s="23"/>
      <c r="D1315" s="24" t="s">
        <v>111</v>
      </c>
      <c r="E1315" s="78"/>
      <c r="F1315" s="79"/>
      <c r="G1315" s="26">
        <f>SUM(G1307:G1314)</f>
        <v>1682.9415675000002</v>
      </c>
      <c r="H1315" s="27" t="s">
        <v>1492</v>
      </c>
      <c r="O1315" t="e">
        <f>SUM(#REF!)</f>
        <v>#REF!</v>
      </c>
      <c r="P1315" t="e">
        <f>+O1315*1.05</f>
        <v>#REF!</v>
      </c>
      <c r="XFD1315">
        <f>SUM(XFD1304:XFD1314)</f>
        <v>0</v>
      </c>
    </row>
    <row r="1316" spans="1:16 16384:16384" ht="15.75" thickTop="1">
      <c r="B1316" s="55"/>
    </row>
    <row r="1317" spans="1:16 16384:16384">
      <c r="A1317" s="64"/>
      <c r="B1317" s="370" t="e">
        <f>#REF!</f>
        <v>#REF!</v>
      </c>
      <c r="C1317" s="370"/>
      <c r="D1317" s="370"/>
      <c r="E1317" s="370"/>
      <c r="F1317" s="370"/>
      <c r="G1317" s="370"/>
      <c r="H1317" s="370"/>
    </row>
    <row r="1318" spans="1:16 16384:16384" ht="18.75" customHeight="1">
      <c r="A1318" s="6"/>
      <c r="B1318" s="7"/>
      <c r="C1318" s="8" t="s">
        <v>98</v>
      </c>
      <c r="D1318" s="9" t="s">
        <v>39</v>
      </c>
      <c r="E1318" s="74" t="s">
        <v>99</v>
      </c>
      <c r="F1318" s="75" t="s">
        <v>100</v>
      </c>
      <c r="G1318" s="11" t="s">
        <v>101</v>
      </c>
      <c r="H1318" s="12"/>
    </row>
    <row r="1319" spans="1:16 16384:16384">
      <c r="A1319" s="13"/>
      <c r="B1319" s="67" t="s">
        <v>1611</v>
      </c>
      <c r="C1319" s="57">
        <v>2.2999999999999998</v>
      </c>
      <c r="D1319" s="57" t="s">
        <v>3</v>
      </c>
      <c r="E1319" s="76">
        <v>104.24</v>
      </c>
      <c r="F1319" s="76">
        <f>+E1319*0.18</f>
        <v>18.763199999999998</v>
      </c>
      <c r="G1319" s="17">
        <f>+C1319*E1319+C1319*F1319</f>
        <v>282.90735999999998</v>
      </c>
      <c r="H1319" s="18"/>
      <c r="K1319">
        <f>19204.66*4</f>
        <v>76818.64</v>
      </c>
    </row>
    <row r="1320" spans="1:16 16384:16384">
      <c r="A1320" s="13"/>
      <c r="B1320" s="67" t="s">
        <v>1620</v>
      </c>
      <c r="C1320" s="57">
        <v>1</v>
      </c>
      <c r="D1320" s="57" t="s">
        <v>3</v>
      </c>
      <c r="E1320" s="76">
        <v>38.46</v>
      </c>
      <c r="F1320" s="76">
        <f t="shared" ref="F1320:F1324" si="134">+E1320*0.18</f>
        <v>6.9227999999999996</v>
      </c>
      <c r="G1320" s="17">
        <f t="shared" ref="G1320:G1325" si="135">+C1320*E1320+C1320*F1320</f>
        <v>45.382800000000003</v>
      </c>
      <c r="H1320" s="18"/>
    </row>
    <row r="1321" spans="1:16 16384:16384">
      <c r="A1321" s="13"/>
      <c r="B1321" s="67" t="s">
        <v>1627</v>
      </c>
      <c r="C1321" s="57">
        <v>0.34650000000000003</v>
      </c>
      <c r="D1321" s="57" t="s">
        <v>855</v>
      </c>
      <c r="E1321" s="76">
        <v>93.22</v>
      </c>
      <c r="F1321" s="76">
        <f t="shared" si="134"/>
        <v>16.779599999999999</v>
      </c>
      <c r="G1321" s="17">
        <f t="shared" si="135"/>
        <v>38.114861400000002</v>
      </c>
      <c r="H1321" s="18"/>
    </row>
    <row r="1322" spans="1:16 16384:16384">
      <c r="A1322" s="13"/>
      <c r="B1322" s="67" t="s">
        <v>1628</v>
      </c>
      <c r="C1322" s="57">
        <v>1</v>
      </c>
      <c r="D1322" s="57" t="s">
        <v>3</v>
      </c>
      <c r="E1322" s="76">
        <v>84.75</v>
      </c>
      <c r="F1322" s="76">
        <f t="shared" si="134"/>
        <v>15.254999999999999</v>
      </c>
      <c r="G1322" s="17">
        <f t="shared" si="135"/>
        <v>100.005</v>
      </c>
      <c r="H1322" s="18"/>
    </row>
    <row r="1323" spans="1:16 16384:16384">
      <c r="A1323" s="13"/>
      <c r="B1323" s="67" t="s">
        <v>1622</v>
      </c>
      <c r="C1323" s="57">
        <v>2</v>
      </c>
      <c r="D1323" s="57" t="s">
        <v>3</v>
      </c>
      <c r="E1323" s="76">
        <v>16.100000000000001</v>
      </c>
      <c r="F1323" s="76">
        <f t="shared" si="134"/>
        <v>2.8980000000000001</v>
      </c>
      <c r="G1323" s="17">
        <f t="shared" si="135"/>
        <v>37.996000000000002</v>
      </c>
      <c r="H1323" s="18"/>
    </row>
    <row r="1324" spans="1:16 16384:16384">
      <c r="A1324" s="13"/>
      <c r="B1324" s="67" t="s">
        <v>1616</v>
      </c>
      <c r="C1324" s="57">
        <v>1.2500000000000001E-2</v>
      </c>
      <c r="D1324" s="57" t="s">
        <v>3</v>
      </c>
      <c r="E1324" s="76">
        <v>628.80999999999995</v>
      </c>
      <c r="F1324" s="76">
        <f t="shared" si="134"/>
        <v>113.18579999999999</v>
      </c>
      <c r="G1324" s="17">
        <f t="shared" si="135"/>
        <v>9.2749474999999997</v>
      </c>
      <c r="H1324" s="18"/>
    </row>
    <row r="1325" spans="1:16 16384:16384">
      <c r="A1325" s="13"/>
      <c r="B1325" s="67" t="s">
        <v>1619</v>
      </c>
      <c r="C1325" s="57">
        <v>1</v>
      </c>
      <c r="D1325" s="57" t="s">
        <v>3</v>
      </c>
      <c r="E1325" s="76">
        <v>796</v>
      </c>
      <c r="F1325" s="76"/>
      <c r="G1325" s="17">
        <f t="shared" si="135"/>
        <v>796</v>
      </c>
      <c r="H1325" s="18"/>
    </row>
    <row r="1326" spans="1:16 16384:16384" ht="15.75" thickBot="1">
      <c r="A1326" s="21"/>
      <c r="B1326" s="22"/>
      <c r="C1326" s="23"/>
      <c r="D1326" s="24" t="s">
        <v>111</v>
      </c>
      <c r="E1326" s="78"/>
      <c r="F1326" s="79"/>
      <c r="G1326" s="26">
        <f>SUM(G1319:G1325)</f>
        <v>1309.6809689000002</v>
      </c>
      <c r="H1326" s="27" t="s">
        <v>1492</v>
      </c>
      <c r="O1326" t="e">
        <f>SUM(#REF!)</f>
        <v>#REF!</v>
      </c>
      <c r="P1326" t="e">
        <f>+O1326*1.05</f>
        <v>#REF!</v>
      </c>
      <c r="XFD1326" t="e">
        <f>SUM(#REF!)</f>
        <v>#REF!</v>
      </c>
    </row>
    <row r="1327" spans="1:16 16384:16384" ht="15.75" thickTop="1">
      <c r="B1327" s="55"/>
    </row>
    <row r="1328" spans="1:16 16384:16384">
      <c r="A1328" s="64"/>
      <c r="B1328" s="370" t="e">
        <f>#REF!</f>
        <v>#REF!</v>
      </c>
      <c r="C1328" s="370"/>
      <c r="D1328" s="370"/>
      <c r="E1328" s="370"/>
      <c r="F1328" s="370"/>
      <c r="G1328" s="370"/>
      <c r="H1328" s="370"/>
    </row>
    <row r="1329" spans="1:16 16384:16384" ht="18.75" customHeight="1">
      <c r="A1329" s="6"/>
      <c r="B1329" s="7"/>
      <c r="C1329" s="8" t="s">
        <v>98</v>
      </c>
      <c r="D1329" s="9" t="s">
        <v>39</v>
      </c>
      <c r="E1329" s="74" t="s">
        <v>99</v>
      </c>
      <c r="F1329" s="75" t="s">
        <v>100</v>
      </c>
      <c r="G1329" s="11" t="s">
        <v>101</v>
      </c>
      <c r="H1329" s="12"/>
    </row>
    <row r="1330" spans="1:16 16384:16384">
      <c r="A1330" s="13"/>
      <c r="B1330" s="67" t="s">
        <v>1611</v>
      </c>
      <c r="C1330" s="57">
        <v>2.2999999999999998</v>
      </c>
      <c r="D1330" s="57" t="s">
        <v>3</v>
      </c>
      <c r="E1330" s="76">
        <v>104.24</v>
      </c>
      <c r="F1330" s="76">
        <f>+E1330*0.18</f>
        <v>18.763199999999998</v>
      </c>
      <c r="G1330" s="17">
        <f>+C1330*E1330+C1330*F1330</f>
        <v>282.90735999999998</v>
      </c>
      <c r="H1330" s="18"/>
      <c r="K1330">
        <f>19204.66*4</f>
        <v>76818.64</v>
      </c>
    </row>
    <row r="1331" spans="1:16 16384:16384">
      <c r="A1331" s="13"/>
      <c r="B1331" s="67" t="s">
        <v>1620</v>
      </c>
      <c r="C1331" s="57">
        <v>1</v>
      </c>
      <c r="D1331" s="57" t="s">
        <v>3</v>
      </c>
      <c r="E1331" s="76">
        <v>38.46</v>
      </c>
      <c r="F1331" s="76">
        <f t="shared" ref="F1331:F1335" si="136">+E1331*0.18</f>
        <v>6.9227999999999996</v>
      </c>
      <c r="G1331" s="17">
        <f t="shared" ref="G1331:G1336" si="137">+C1331*E1331+C1331*F1331</f>
        <v>45.382800000000003</v>
      </c>
      <c r="H1331" s="18"/>
    </row>
    <row r="1332" spans="1:16 16384:16384">
      <c r="A1332" s="13"/>
      <c r="B1332" s="67" t="s">
        <v>1627</v>
      </c>
      <c r="C1332" s="57">
        <v>0.34650000000000003</v>
      </c>
      <c r="D1332" s="57" t="s">
        <v>855</v>
      </c>
      <c r="E1332" s="76">
        <v>93.22</v>
      </c>
      <c r="F1332" s="76">
        <f t="shared" si="136"/>
        <v>16.779599999999999</v>
      </c>
      <c r="G1332" s="17">
        <f t="shared" si="137"/>
        <v>38.114861400000002</v>
      </c>
      <c r="H1332" s="18"/>
    </row>
    <row r="1333" spans="1:16 16384:16384">
      <c r="A1333" s="13"/>
      <c r="B1333" s="67" t="s">
        <v>1628</v>
      </c>
      <c r="C1333" s="57">
        <v>1</v>
      </c>
      <c r="D1333" s="57" t="s">
        <v>3</v>
      </c>
      <c r="E1333" s="76">
        <v>84.75</v>
      </c>
      <c r="F1333" s="76">
        <f t="shared" si="136"/>
        <v>15.254999999999999</v>
      </c>
      <c r="G1333" s="17">
        <f t="shared" si="137"/>
        <v>100.005</v>
      </c>
      <c r="H1333" s="18"/>
    </row>
    <row r="1334" spans="1:16 16384:16384">
      <c r="A1334" s="13"/>
      <c r="B1334" s="67" t="s">
        <v>1622</v>
      </c>
      <c r="C1334" s="57">
        <v>2</v>
      </c>
      <c r="D1334" s="57" t="s">
        <v>3</v>
      </c>
      <c r="E1334" s="76">
        <v>16.100000000000001</v>
      </c>
      <c r="F1334" s="76">
        <f t="shared" si="136"/>
        <v>2.8980000000000001</v>
      </c>
      <c r="G1334" s="17">
        <f t="shared" si="137"/>
        <v>37.996000000000002</v>
      </c>
      <c r="H1334" s="18"/>
    </row>
    <row r="1335" spans="1:16 16384:16384">
      <c r="A1335" s="13"/>
      <c r="B1335" s="67" t="s">
        <v>1616</v>
      </c>
      <c r="C1335" s="57">
        <v>1.2500000000000001E-2</v>
      </c>
      <c r="D1335" s="57" t="s">
        <v>3</v>
      </c>
      <c r="E1335" s="76">
        <v>628.80999999999995</v>
      </c>
      <c r="F1335" s="76">
        <f t="shared" si="136"/>
        <v>113.18579999999999</v>
      </c>
      <c r="G1335" s="17">
        <f t="shared" si="137"/>
        <v>9.2749474999999997</v>
      </c>
      <c r="H1335" s="18"/>
    </row>
    <row r="1336" spans="1:16 16384:16384">
      <c r="A1336" s="13"/>
      <c r="B1336" s="67" t="s">
        <v>1619</v>
      </c>
      <c r="C1336" s="57">
        <v>1</v>
      </c>
      <c r="D1336" s="57" t="s">
        <v>3</v>
      </c>
      <c r="E1336" s="76">
        <v>796</v>
      </c>
      <c r="F1336" s="76"/>
      <c r="G1336" s="17">
        <f t="shared" si="137"/>
        <v>796</v>
      </c>
      <c r="H1336" s="18"/>
    </row>
    <row r="1337" spans="1:16 16384:16384" ht="15.75" thickBot="1">
      <c r="A1337" s="21"/>
      <c r="B1337" s="22"/>
      <c r="C1337" s="23"/>
      <c r="D1337" s="24" t="s">
        <v>111</v>
      </c>
      <c r="E1337" s="78"/>
      <c r="F1337" s="79"/>
      <c r="G1337" s="26">
        <f>SUM(G1330:G1336)</f>
        <v>1309.6809689000002</v>
      </c>
      <c r="H1337" s="27" t="s">
        <v>1492</v>
      </c>
      <c r="O1337" t="e">
        <f>SUM(#REF!)</f>
        <v>#REF!</v>
      </c>
      <c r="P1337" t="e">
        <f>+O1337*1.05</f>
        <v>#REF!</v>
      </c>
      <c r="XFD1337">
        <f>SUM(XFD1362:XFD1367)</f>
        <v>0</v>
      </c>
    </row>
    <row r="1338" spans="1:16 16384:16384" ht="15.75" thickTop="1">
      <c r="B1338" s="55"/>
    </row>
    <row r="1339" spans="1:16 16384:16384">
      <c r="A1339" s="64"/>
      <c r="B1339" s="370" t="e">
        <f>#REF!</f>
        <v>#REF!</v>
      </c>
      <c r="C1339" s="370"/>
      <c r="D1339" s="370"/>
      <c r="E1339" s="370"/>
      <c r="F1339" s="370"/>
      <c r="G1339" s="370"/>
      <c r="H1339" s="370"/>
    </row>
    <row r="1340" spans="1:16 16384:16384" ht="18.75" customHeight="1">
      <c r="A1340" s="6"/>
      <c r="B1340" s="7"/>
      <c r="C1340" s="8" t="s">
        <v>98</v>
      </c>
      <c r="D1340" s="9" t="s">
        <v>39</v>
      </c>
      <c r="E1340" s="74" t="s">
        <v>99</v>
      </c>
      <c r="F1340" s="75" t="s">
        <v>100</v>
      </c>
      <c r="G1340" s="11" t="s">
        <v>101</v>
      </c>
      <c r="H1340" s="12"/>
    </row>
    <row r="1341" spans="1:16 16384:16384">
      <c r="A1341" s="13"/>
      <c r="B1341" s="67" t="s">
        <v>1611</v>
      </c>
      <c r="C1341" s="57">
        <v>2.2999999999999998</v>
      </c>
      <c r="D1341" s="57" t="s">
        <v>3</v>
      </c>
      <c r="E1341" s="76">
        <v>104.24</v>
      </c>
      <c r="F1341" s="76">
        <f>+E1341*0.18</f>
        <v>18.763199999999998</v>
      </c>
      <c r="G1341" s="17">
        <f>+C1341*E1341+C1341*F1341</f>
        <v>282.90735999999998</v>
      </c>
      <c r="H1341" s="18"/>
      <c r="K1341">
        <f>19204.66*4</f>
        <v>76818.64</v>
      </c>
    </row>
    <row r="1342" spans="1:16 16384:16384">
      <c r="A1342" s="13"/>
      <c r="B1342" s="67" t="s">
        <v>1620</v>
      </c>
      <c r="C1342" s="57">
        <v>1</v>
      </c>
      <c r="D1342" s="57" t="s">
        <v>3</v>
      </c>
      <c r="E1342" s="76">
        <v>38.46</v>
      </c>
      <c r="F1342" s="76">
        <f t="shared" ref="F1342:F1346" si="138">+E1342*0.18</f>
        <v>6.9227999999999996</v>
      </c>
      <c r="G1342" s="17">
        <f t="shared" ref="G1342:G1347" si="139">+C1342*E1342+C1342*F1342</f>
        <v>45.382800000000003</v>
      </c>
      <c r="H1342" s="18"/>
    </row>
    <row r="1343" spans="1:16 16384:16384">
      <c r="A1343" s="13"/>
      <c r="B1343" s="67" t="s">
        <v>1627</v>
      </c>
      <c r="C1343" s="57">
        <v>0.34650000000000003</v>
      </c>
      <c r="D1343" s="57" t="s">
        <v>855</v>
      </c>
      <c r="E1343" s="76">
        <v>93.22</v>
      </c>
      <c r="F1343" s="76">
        <f t="shared" si="138"/>
        <v>16.779599999999999</v>
      </c>
      <c r="G1343" s="17">
        <f t="shared" si="139"/>
        <v>38.114861400000002</v>
      </c>
      <c r="H1343" s="18"/>
    </row>
    <row r="1344" spans="1:16 16384:16384">
      <c r="A1344" s="13"/>
      <c r="B1344" s="67" t="s">
        <v>1628</v>
      </c>
      <c r="C1344" s="57">
        <v>1</v>
      </c>
      <c r="D1344" s="57" t="s">
        <v>3</v>
      </c>
      <c r="E1344" s="76">
        <v>84.75</v>
      </c>
      <c r="F1344" s="76">
        <f t="shared" si="138"/>
        <v>15.254999999999999</v>
      </c>
      <c r="G1344" s="17">
        <f t="shared" si="139"/>
        <v>100.005</v>
      </c>
      <c r="H1344" s="18"/>
    </row>
    <row r="1345" spans="1:16 16384:16384">
      <c r="A1345" s="13"/>
      <c r="B1345" s="67" t="s">
        <v>1622</v>
      </c>
      <c r="C1345" s="57">
        <v>2</v>
      </c>
      <c r="D1345" s="57" t="s">
        <v>3</v>
      </c>
      <c r="E1345" s="76">
        <v>16.100000000000001</v>
      </c>
      <c r="F1345" s="76">
        <f t="shared" si="138"/>
        <v>2.8980000000000001</v>
      </c>
      <c r="G1345" s="17">
        <f t="shared" si="139"/>
        <v>37.996000000000002</v>
      </c>
      <c r="H1345" s="18"/>
    </row>
    <row r="1346" spans="1:16 16384:16384">
      <c r="A1346" s="13"/>
      <c r="B1346" s="67" t="s">
        <v>1616</v>
      </c>
      <c r="C1346" s="57">
        <v>1.2500000000000001E-2</v>
      </c>
      <c r="D1346" s="57" t="s">
        <v>3</v>
      </c>
      <c r="E1346" s="76">
        <v>628.80999999999995</v>
      </c>
      <c r="F1346" s="76">
        <f t="shared" si="138"/>
        <v>113.18579999999999</v>
      </c>
      <c r="G1346" s="17">
        <f t="shared" si="139"/>
        <v>9.2749474999999997</v>
      </c>
      <c r="H1346" s="18"/>
    </row>
    <row r="1347" spans="1:16 16384:16384">
      <c r="A1347" s="13"/>
      <c r="B1347" s="67" t="s">
        <v>1619</v>
      </c>
      <c r="C1347" s="57">
        <v>1</v>
      </c>
      <c r="D1347" s="57" t="s">
        <v>3</v>
      </c>
      <c r="E1347" s="76">
        <v>796</v>
      </c>
      <c r="F1347" s="76"/>
      <c r="G1347" s="17">
        <f t="shared" si="139"/>
        <v>796</v>
      </c>
      <c r="H1347" s="18"/>
    </row>
    <row r="1348" spans="1:16 16384:16384" ht="15.75" thickBot="1">
      <c r="A1348" s="21"/>
      <c r="B1348" s="22"/>
      <c r="C1348" s="23"/>
      <c r="D1348" s="24" t="s">
        <v>111</v>
      </c>
      <c r="E1348" s="78"/>
      <c r="F1348" s="79"/>
      <c r="G1348" s="26">
        <f>SUM(G1341:G1347)</f>
        <v>1309.6809689000002</v>
      </c>
      <c r="H1348" s="27" t="s">
        <v>1492</v>
      </c>
      <c r="O1348" t="e">
        <f>SUM(#REF!)</f>
        <v>#REF!</v>
      </c>
      <c r="P1348" t="e">
        <f>+O1348*1.05</f>
        <v>#REF!</v>
      </c>
      <c r="XFD1348" t="e">
        <f>SUM(XFD1373:XFD1966)</f>
        <v>#REF!</v>
      </c>
    </row>
    <row r="1349" spans="1:16 16384:16384" ht="15.75" thickTop="1">
      <c r="B1349" s="55"/>
    </row>
    <row r="1350" spans="1:16 16384:16384" ht="15" customHeight="1">
      <c r="A1350" s="64"/>
      <c r="B1350" s="370" t="e">
        <f>#REF!</f>
        <v>#REF!</v>
      </c>
      <c r="C1350" s="370"/>
      <c r="D1350" s="370"/>
      <c r="E1350" s="370"/>
      <c r="F1350" s="370"/>
      <c r="G1350" s="370"/>
      <c r="H1350" s="370"/>
    </row>
    <row r="1351" spans="1:16 16384:16384" ht="18.75" customHeight="1">
      <c r="A1351" s="6"/>
      <c r="B1351" s="7"/>
      <c r="C1351" s="8" t="s">
        <v>98</v>
      </c>
      <c r="D1351" s="9" t="s">
        <v>39</v>
      </c>
      <c r="E1351" s="74" t="s">
        <v>99</v>
      </c>
      <c r="F1351" s="75" t="s">
        <v>100</v>
      </c>
      <c r="G1351" s="11" t="s">
        <v>101</v>
      </c>
      <c r="H1351" s="12"/>
    </row>
    <row r="1352" spans="1:16 16384:16384">
      <c r="A1352" s="13"/>
      <c r="B1352" s="67" t="s">
        <v>1629</v>
      </c>
      <c r="C1352" s="57">
        <v>12</v>
      </c>
      <c r="D1352" s="57" t="s">
        <v>3</v>
      </c>
      <c r="E1352" s="76">
        <v>216.95</v>
      </c>
      <c r="F1352" s="76">
        <f>+E1352*0.18</f>
        <v>39.050999999999995</v>
      </c>
      <c r="G1352" s="17">
        <f>+C1352*E1352+C1352*F1352</f>
        <v>3072.0119999999997</v>
      </c>
      <c r="H1352" s="18"/>
      <c r="K1352">
        <f>19204.66*4</f>
        <v>76818.64</v>
      </c>
    </row>
    <row r="1353" spans="1:16 16384:16384">
      <c r="A1353" s="13"/>
      <c r="B1353" s="67" t="s">
        <v>1630</v>
      </c>
      <c r="C1353" s="57">
        <v>1</v>
      </c>
      <c r="D1353" s="57" t="s">
        <v>3</v>
      </c>
      <c r="E1353" s="76">
        <v>1838.14</v>
      </c>
      <c r="F1353" s="76">
        <f t="shared" ref="F1353:F1355" si="140">+E1353*0.18</f>
        <v>330.86520000000002</v>
      </c>
      <c r="G1353" s="17">
        <f t="shared" ref="G1353:G1355" si="141">+C1353*E1353+C1353*F1353</f>
        <v>2169.0052000000001</v>
      </c>
      <c r="H1353" s="18"/>
    </row>
    <row r="1354" spans="1:16 16384:16384">
      <c r="A1354" s="13"/>
      <c r="B1354" s="67" t="s">
        <v>1631</v>
      </c>
      <c r="C1354" s="57">
        <v>1</v>
      </c>
      <c r="D1354" s="57" t="s">
        <v>3</v>
      </c>
      <c r="E1354" s="76">
        <v>1035.07</v>
      </c>
      <c r="F1354" s="76">
        <f t="shared" si="140"/>
        <v>186.31259999999997</v>
      </c>
      <c r="G1354" s="17">
        <f t="shared" si="141"/>
        <v>1221.3825999999999</v>
      </c>
      <c r="H1354" s="18"/>
    </row>
    <row r="1355" spans="1:16 16384:16384">
      <c r="A1355" s="13"/>
      <c r="B1355" s="67" t="s">
        <v>1632</v>
      </c>
      <c r="C1355" s="57">
        <v>12</v>
      </c>
      <c r="D1355" s="57" t="s">
        <v>3</v>
      </c>
      <c r="E1355" s="76">
        <v>133.4</v>
      </c>
      <c r="F1355" s="76">
        <f t="shared" si="140"/>
        <v>24.012</v>
      </c>
      <c r="G1355" s="17">
        <f t="shared" si="141"/>
        <v>1888.9440000000002</v>
      </c>
      <c r="H1355" s="18"/>
    </row>
    <row r="1356" spans="1:16 16384:16384" ht="15.75" thickBot="1">
      <c r="A1356" s="21"/>
      <c r="B1356" s="22"/>
      <c r="C1356" s="23"/>
      <c r="D1356" s="24" t="s">
        <v>111</v>
      </c>
      <c r="E1356" s="78"/>
      <c r="F1356" s="79"/>
      <c r="G1356" s="26">
        <f>SUM(G1352:G1355)</f>
        <v>8351.3438000000006</v>
      </c>
      <c r="H1356" s="27" t="s">
        <v>1492</v>
      </c>
      <c r="O1356" t="e">
        <f>SUM(#REF!)</f>
        <v>#REF!</v>
      </c>
      <c r="P1356" t="e">
        <f>+O1356*1.05</f>
        <v>#REF!</v>
      </c>
      <c r="XFD1356" t="e">
        <f>SUM(XFD1326:XFD1326)</f>
        <v>#REF!</v>
      </c>
    </row>
    <row r="1357" spans="1:16 16384:16384" ht="15.75" thickTop="1">
      <c r="B1357" s="55"/>
    </row>
    <row r="1358" spans="1:16 16384:16384">
      <c r="A1358" s="64"/>
      <c r="B1358" s="370" t="s">
        <v>73</v>
      </c>
      <c r="C1358" s="370"/>
      <c r="D1358" s="370"/>
      <c r="E1358" s="370"/>
      <c r="F1358" s="370"/>
      <c r="G1358" s="370"/>
      <c r="H1358" s="370"/>
    </row>
    <row r="1359" spans="1:16 16384:16384" ht="18.75" customHeight="1">
      <c r="A1359" s="6"/>
      <c r="B1359" s="7"/>
      <c r="C1359" s="8" t="s">
        <v>98</v>
      </c>
      <c r="D1359" s="9" t="s">
        <v>39</v>
      </c>
      <c r="E1359" s="74" t="s">
        <v>99</v>
      </c>
      <c r="F1359" s="75" t="s">
        <v>100</v>
      </c>
      <c r="G1359" s="11" t="s">
        <v>101</v>
      </c>
      <c r="H1359" s="12"/>
    </row>
    <row r="1360" spans="1:16 16384:16384" ht="24" customHeight="1">
      <c r="A1360" s="13"/>
      <c r="B1360" s="67" t="str">
        <f>+B1358</f>
        <v>Materiales eléctricos (Tuberías y Piezas)</v>
      </c>
      <c r="C1360" s="57">
        <v>1</v>
      </c>
      <c r="D1360" s="57" t="s">
        <v>3</v>
      </c>
      <c r="E1360" s="76">
        <f>2500/1.18</f>
        <v>2118.6440677966102</v>
      </c>
      <c r="F1360" s="76">
        <f>+E1360*0.18</f>
        <v>381.35593220338984</v>
      </c>
      <c r="G1360" s="17">
        <f>+C1360*E1360+C1360*F1360</f>
        <v>2500</v>
      </c>
      <c r="H1360" s="18"/>
      <c r="K1360">
        <f>19204.66*4</f>
        <v>76818.64</v>
      </c>
    </row>
    <row r="1361" spans="1:16 16384:16384" ht="15.75" thickBot="1">
      <c r="A1361" s="21"/>
      <c r="B1361" s="22"/>
      <c r="C1361" s="23"/>
      <c r="D1361" s="24" t="s">
        <v>111</v>
      </c>
      <c r="E1361" s="78"/>
      <c r="F1361" s="79"/>
      <c r="G1361" s="26">
        <f>SUM(G1360:G1360)</f>
        <v>2500</v>
      </c>
      <c r="H1361" s="27" t="s">
        <v>1492</v>
      </c>
      <c r="O1361" t="e">
        <f>SUM(#REF!)</f>
        <v>#REF!</v>
      </c>
      <c r="P1361" t="e">
        <f>+O1361*1.05</f>
        <v>#REF!</v>
      </c>
      <c r="XFD1361" t="e">
        <f>SUM(#REF!)</f>
        <v>#REF!</v>
      </c>
    </row>
    <row r="1362" spans="1:16 16384:16384" ht="15.75" thickTop="1">
      <c r="B1362" s="55"/>
    </row>
    <row r="1363" spans="1:16 16384:16384">
      <c r="A1363" s="64"/>
      <c r="B1363" s="370" t="e">
        <f>#REF!</f>
        <v>#REF!</v>
      </c>
      <c r="C1363" s="370"/>
      <c r="D1363" s="370"/>
      <c r="E1363" s="370"/>
      <c r="F1363" s="370"/>
      <c r="G1363" s="370"/>
      <c r="H1363" s="370"/>
    </row>
    <row r="1364" spans="1:16 16384:16384" ht="18.75" customHeight="1">
      <c r="A1364" s="6"/>
      <c r="B1364" s="7"/>
      <c r="C1364" s="8" t="s">
        <v>98</v>
      </c>
      <c r="D1364" s="9" t="s">
        <v>39</v>
      </c>
      <c r="E1364" s="74" t="s">
        <v>99</v>
      </c>
      <c r="F1364" s="75" t="s">
        <v>100</v>
      </c>
      <c r="G1364" s="11" t="s">
        <v>101</v>
      </c>
      <c r="H1364" s="12"/>
    </row>
    <row r="1365" spans="1:16 16384:16384">
      <c r="A1365" s="13"/>
      <c r="B1365" s="67" t="s">
        <v>1870</v>
      </c>
      <c r="C1365" s="57">
        <v>2</v>
      </c>
      <c r="D1365" s="57" t="s">
        <v>28</v>
      </c>
      <c r="E1365" s="76">
        <f>Materiales!$D$1046</f>
        <v>84.966101694915253</v>
      </c>
      <c r="F1365" s="76">
        <f>+E1365*0.18</f>
        <v>15.293898305084745</v>
      </c>
      <c r="G1365" s="17">
        <f>+C1365*E1365+C1365*F1365</f>
        <v>200.51999999999998</v>
      </c>
      <c r="H1365" s="18"/>
      <c r="K1365">
        <f>19204.66*4</f>
        <v>76818.64</v>
      </c>
    </row>
    <row r="1366" spans="1:16 16384:16384">
      <c r="A1366" s="13"/>
      <c r="B1366" s="67" t="s">
        <v>1871</v>
      </c>
      <c r="C1366" s="57">
        <v>1</v>
      </c>
      <c r="D1366" s="57" t="s">
        <v>28</v>
      </c>
      <c r="E1366" s="76">
        <f>Materiales!$D$1047</f>
        <v>64.322033898305094</v>
      </c>
      <c r="F1366" s="76">
        <f t="shared" ref="F1366:F1368" si="142">+E1366*0.18</f>
        <v>11.577966101694916</v>
      </c>
      <c r="G1366" s="17">
        <f t="shared" ref="G1366:G1368" si="143">+C1366*E1366+C1366*F1366</f>
        <v>75.900000000000006</v>
      </c>
      <c r="H1366" s="18"/>
    </row>
    <row r="1367" spans="1:16 16384:16384">
      <c r="A1367" s="13"/>
      <c r="B1367" s="67" t="s">
        <v>1633</v>
      </c>
      <c r="C1367" s="57">
        <v>1</v>
      </c>
      <c r="D1367" s="57" t="s">
        <v>28</v>
      </c>
      <c r="E1367" s="76">
        <f>Materiales!$D$1049</f>
        <v>25.169491525423727</v>
      </c>
      <c r="F1367" s="76">
        <f t="shared" si="142"/>
        <v>4.5305084745762709</v>
      </c>
      <c r="G1367" s="17">
        <f t="shared" si="143"/>
        <v>29.699999999999996</v>
      </c>
      <c r="H1367" s="18"/>
    </row>
    <row r="1368" spans="1:16 16384:16384">
      <c r="A1368" s="13"/>
      <c r="B1368" s="67" t="s">
        <v>1689</v>
      </c>
      <c r="C1368" s="57">
        <v>1</v>
      </c>
      <c r="D1368" s="57" t="s">
        <v>28</v>
      </c>
      <c r="E1368" s="76">
        <f>Materiales!$D$714/19</f>
        <v>7.9839429081177515</v>
      </c>
      <c r="F1368" s="76">
        <f t="shared" si="142"/>
        <v>1.4371097234611951</v>
      </c>
      <c r="G1368" s="17">
        <f t="shared" si="143"/>
        <v>9.4210526315789469</v>
      </c>
      <c r="H1368" s="18"/>
    </row>
    <row r="1369" spans="1:16 16384:16384" ht="24" customHeight="1">
      <c r="A1369" s="13"/>
      <c r="B1369" s="67"/>
      <c r="C1369" s="57"/>
      <c r="D1369" s="57"/>
      <c r="E1369" s="76"/>
      <c r="F1369" s="76"/>
      <c r="G1369" s="17"/>
      <c r="H1369" s="18"/>
    </row>
    <row r="1370" spans="1:16 16384:16384" ht="15.75" thickBot="1">
      <c r="A1370" s="21"/>
      <c r="B1370" s="22"/>
      <c r="C1370" s="23"/>
      <c r="D1370" s="24" t="s">
        <v>111</v>
      </c>
      <c r="E1370" s="78"/>
      <c r="F1370" s="79"/>
      <c r="G1370" s="26">
        <f>SUM(G1365:G1369)</f>
        <v>315.54105263157891</v>
      </c>
      <c r="H1370" s="27" t="s">
        <v>28</v>
      </c>
      <c r="O1370" t="e">
        <f>SUM(#REF!)</f>
        <v>#REF!</v>
      </c>
      <c r="P1370" t="e">
        <f>+O1370*1.05</f>
        <v>#REF!</v>
      </c>
      <c r="XFD1370" t="e">
        <f>SUM(#REF!)</f>
        <v>#REF!</v>
      </c>
    </row>
    <row r="1371" spans="1:16 16384:16384" ht="16.5" thickTop="1" thickBot="1">
      <c r="A1371" s="21"/>
      <c r="B1371" s="22"/>
      <c r="C1371" s="371" t="s">
        <v>1901</v>
      </c>
      <c r="D1371" s="371"/>
      <c r="E1371" s="371"/>
      <c r="F1371" s="371"/>
      <c r="G1371" s="26">
        <f>+G1370*300</f>
        <v>94662.315789473665</v>
      </c>
      <c r="H1371" s="27" t="s">
        <v>12</v>
      </c>
    </row>
    <row r="1372" spans="1:16 16384:16384" ht="15.75" thickTop="1">
      <c r="B1372" s="55"/>
    </row>
    <row r="1373" spans="1:16 16384:16384">
      <c r="A1373" s="64"/>
      <c r="B1373" s="370" t="s">
        <v>75</v>
      </c>
      <c r="C1373" s="370"/>
      <c r="D1373" s="370"/>
      <c r="E1373" s="370"/>
      <c r="F1373" s="370"/>
      <c r="G1373" s="370"/>
      <c r="H1373" s="370"/>
    </row>
    <row r="1374" spans="1:16 16384:16384" ht="18.75" customHeight="1">
      <c r="A1374" s="6"/>
      <c r="B1374" s="7"/>
      <c r="C1374" s="8" t="s">
        <v>98</v>
      </c>
      <c r="D1374" s="9" t="s">
        <v>39</v>
      </c>
      <c r="E1374" s="74" t="s">
        <v>99</v>
      </c>
      <c r="F1374" s="75" t="s">
        <v>100</v>
      </c>
      <c r="G1374" s="11" t="s">
        <v>101</v>
      </c>
      <c r="H1374" s="12"/>
    </row>
    <row r="1375" spans="1:16 16384:16384" ht="24" customHeight="1">
      <c r="A1375" s="13"/>
      <c r="B1375" s="67" t="str">
        <f>+B1358</f>
        <v>Materiales eléctricos (Tuberías y Piezas)</v>
      </c>
      <c r="C1375" s="57">
        <v>1</v>
      </c>
      <c r="D1375" s="57" t="s">
        <v>3</v>
      </c>
      <c r="E1375" s="76">
        <f>+G1361</f>
        <v>2500</v>
      </c>
      <c r="F1375" s="76"/>
      <c r="G1375" s="17">
        <f>+C1375*E1375+C1375*F1375</f>
        <v>2500</v>
      </c>
      <c r="H1375" s="18"/>
      <c r="K1375">
        <f>19204.66*4</f>
        <v>76818.64</v>
      </c>
    </row>
    <row r="1376" spans="1:16 16384:16384" ht="24" customHeight="1">
      <c r="A1376" s="13"/>
      <c r="B1376" s="67" t="e">
        <f>$B$1363</f>
        <v>#REF!</v>
      </c>
      <c r="C1376" s="57">
        <v>1</v>
      </c>
      <c r="D1376" s="57" t="s">
        <v>3</v>
      </c>
      <c r="E1376" s="76">
        <f>$G$1371</f>
        <v>94662.315789473665</v>
      </c>
      <c r="F1376" s="76"/>
      <c r="G1376" s="17">
        <f>+C1376*E1376+C1376*F1376</f>
        <v>94662.315789473665</v>
      </c>
      <c r="H1376" s="18"/>
    </row>
    <row r="1377" spans="1:17 16384:16384" ht="15.75" thickBot="1">
      <c r="A1377" s="21"/>
      <c r="B1377" s="22"/>
      <c r="C1377" s="23"/>
      <c r="D1377" s="24" t="s">
        <v>111</v>
      </c>
      <c r="E1377" s="78"/>
      <c r="F1377" s="79"/>
      <c r="G1377" s="26">
        <f>SUM(G1375:G1376)</f>
        <v>97162.315789473665</v>
      </c>
      <c r="H1377" s="27" t="s">
        <v>1492</v>
      </c>
      <c r="O1377" t="e">
        <f>SUM(#REF!)</f>
        <v>#REF!</v>
      </c>
      <c r="P1377" t="e">
        <f>+O1377*1.05</f>
        <v>#REF!</v>
      </c>
      <c r="XFD1377" t="e">
        <f>SUM(#REF!)</f>
        <v>#REF!</v>
      </c>
    </row>
    <row r="1378" spans="1:17 16384:16384" ht="15.75" thickTop="1">
      <c r="B1378" s="55"/>
      <c r="K1378">
        <f>1.2*3.281</f>
        <v>3.9371999999999998</v>
      </c>
    </row>
    <row r="1379" spans="1:17 16384:16384">
      <c r="A1379" s="53"/>
      <c r="B1379" s="53" t="s">
        <v>83</v>
      </c>
      <c r="C1379" s="54"/>
      <c r="D1379" s="54"/>
      <c r="E1379" s="72"/>
      <c r="F1379" s="72"/>
      <c r="G1379" s="54"/>
      <c r="H1379" s="54"/>
    </row>
    <row r="1380" spans="1:17 16384:16384">
      <c r="B1380" s="55"/>
    </row>
    <row r="1381" spans="1:17 16384:16384">
      <c r="A1381" s="64"/>
      <c r="B1381" s="370" t="e">
        <f>#REF!</f>
        <v>#REF!</v>
      </c>
      <c r="C1381" s="370"/>
      <c r="D1381" s="370"/>
      <c r="E1381" s="370"/>
      <c r="F1381" s="370"/>
      <c r="G1381" s="370"/>
      <c r="H1381" s="370"/>
    </row>
    <row r="1382" spans="1:17 16384:16384" ht="18.75" customHeight="1">
      <c r="A1382" s="6"/>
      <c r="B1382" s="7"/>
      <c r="C1382" s="8" t="s">
        <v>98</v>
      </c>
      <c r="D1382" s="9" t="s">
        <v>39</v>
      </c>
      <c r="E1382" s="74" t="s">
        <v>99</v>
      </c>
      <c r="F1382" s="75" t="s">
        <v>100</v>
      </c>
      <c r="G1382" s="11" t="s">
        <v>101</v>
      </c>
      <c r="H1382" s="12"/>
    </row>
    <row r="1383" spans="1:17 16384:16384" ht="24" customHeight="1">
      <c r="A1383" s="13"/>
      <c r="B1383" s="67" t="e">
        <f>+B1381</f>
        <v>#REF!</v>
      </c>
      <c r="C1383" s="57">
        <v>1</v>
      </c>
      <c r="D1383" s="57" t="s">
        <v>40</v>
      </c>
      <c r="E1383" s="76">
        <f>25000/1.18</f>
        <v>21186.440677966104</v>
      </c>
      <c r="F1383" s="76">
        <f>+E1383*0.18</f>
        <v>3813.5593220338988</v>
      </c>
      <c r="G1383" s="17">
        <f>+C1383*E1383+C1383*F1383</f>
        <v>25000.000000000004</v>
      </c>
      <c r="H1383" s="18"/>
      <c r="K1383">
        <f>19204.66*4</f>
        <v>76818.64</v>
      </c>
    </row>
    <row r="1384" spans="1:17 16384:16384" ht="15.75" thickBot="1">
      <c r="A1384" s="21"/>
      <c r="B1384" s="22"/>
      <c r="C1384" s="23"/>
      <c r="D1384" s="24" t="s">
        <v>111</v>
      </c>
      <c r="E1384" s="78"/>
      <c r="F1384" s="79"/>
      <c r="G1384" s="26">
        <f>SUM(G1383:G1383)</f>
        <v>25000.000000000004</v>
      </c>
      <c r="H1384" s="27" t="s">
        <v>1492</v>
      </c>
      <c r="O1384" t="e">
        <f>SUM(#REF!)</f>
        <v>#REF!</v>
      </c>
      <c r="P1384" t="e">
        <f>+O1384*1.05</f>
        <v>#REF!</v>
      </c>
      <c r="XFD1384" t="e">
        <f>SUM(#REF!)</f>
        <v>#REF!</v>
      </c>
    </row>
    <row r="1385" spans="1:17 16384:16384" ht="15.75" thickTop="1">
      <c r="B1385" s="55"/>
    </row>
    <row r="1386" spans="1:17 16384:16384">
      <c r="A1386" s="64"/>
      <c r="B1386" s="370" t="e">
        <f>#REF!</f>
        <v>#REF!</v>
      </c>
      <c r="C1386" s="370"/>
      <c r="D1386" s="370"/>
      <c r="E1386" s="370"/>
      <c r="F1386" s="370"/>
      <c r="G1386" s="370"/>
      <c r="H1386" s="370"/>
      <c r="J1386">
        <v>1.008</v>
      </c>
    </row>
    <row r="1387" spans="1:17 16384:16384">
      <c r="A1387" s="6"/>
      <c r="B1387" s="7"/>
      <c r="C1387" s="8" t="s">
        <v>98</v>
      </c>
      <c r="D1387" s="9" t="s">
        <v>39</v>
      </c>
      <c r="E1387" s="74" t="s">
        <v>99</v>
      </c>
      <c r="F1387" s="75" t="s">
        <v>100</v>
      </c>
      <c r="G1387" s="11" t="s">
        <v>101</v>
      </c>
      <c r="H1387" s="12"/>
      <c r="J1387">
        <f>1.6/0.15</f>
        <v>10.666666666666668</v>
      </c>
      <c r="K1387">
        <v>11</v>
      </c>
      <c r="L1387">
        <v>1.4</v>
      </c>
      <c r="M1387">
        <v>3.2810000000000001</v>
      </c>
      <c r="N1387">
        <v>0.66700000000000004</v>
      </c>
      <c r="O1387">
        <f>+K1387*L1387*M1387*N1387/100</f>
        <v>0.337017758</v>
      </c>
    </row>
    <row r="1388" spans="1:17 16384:16384">
      <c r="A1388" s="19"/>
      <c r="B1388" s="60" t="e">
        <f>+B1386</f>
        <v>#REF!</v>
      </c>
      <c r="C1388" s="62">
        <v>1</v>
      </c>
      <c r="D1388" s="57" t="s">
        <v>21</v>
      </c>
      <c r="E1388" s="61">
        <f>Materiales!$D$1377</f>
        <v>10169.491525423729</v>
      </c>
      <c r="F1388" s="61">
        <f>+E1388*0.18</f>
        <v>1830.5084745762713</v>
      </c>
      <c r="G1388" s="17">
        <f t="shared" ref="G1388" si="144">+C1388*E1388+C1388*F1388</f>
        <v>12000</v>
      </c>
      <c r="H1388" s="12"/>
      <c r="O1388">
        <f>SUM(O1387:O1387)</f>
        <v>0.337017758</v>
      </c>
      <c r="P1388">
        <f>+O1388*1.05</f>
        <v>0.3538686459</v>
      </c>
      <c r="Q1388">
        <f>+P1388/J1386</f>
        <v>0.35106016458333333</v>
      </c>
    </row>
    <row r="1389" spans="1:17 16384:16384" ht="15.75" thickBot="1">
      <c r="A1389" s="21"/>
      <c r="B1389" s="22"/>
      <c r="C1389" s="23"/>
      <c r="D1389" s="24" t="s">
        <v>111</v>
      </c>
      <c r="E1389" s="78"/>
      <c r="F1389" s="79"/>
      <c r="G1389" s="26">
        <f>SUM(G1388:G1388)</f>
        <v>12000</v>
      </c>
      <c r="H1389" s="27" t="s">
        <v>21</v>
      </c>
    </row>
    <row r="1390" spans="1:17 16384:16384" ht="15.75" thickTop="1">
      <c r="B1390" s="55"/>
    </row>
    <row r="1391" spans="1:17 16384:16384">
      <c r="A1391" s="64"/>
      <c r="B1391" s="370" t="e">
        <f>#REF!</f>
        <v>#REF!</v>
      </c>
      <c r="C1391" s="370"/>
      <c r="D1391" s="370"/>
      <c r="E1391" s="370"/>
      <c r="F1391" s="370"/>
      <c r="G1391" s="370"/>
      <c r="H1391" s="370"/>
      <c r="J1391">
        <v>1.008</v>
      </c>
    </row>
    <row r="1392" spans="1:17 16384:16384">
      <c r="A1392" s="6"/>
      <c r="B1392" s="7"/>
      <c r="C1392" s="8" t="s">
        <v>98</v>
      </c>
      <c r="D1392" s="9" t="s">
        <v>39</v>
      </c>
      <c r="E1392" s="74" t="s">
        <v>99</v>
      </c>
      <c r="F1392" s="75" t="s">
        <v>100</v>
      </c>
      <c r="G1392" s="11" t="s">
        <v>101</v>
      </c>
      <c r="H1392" s="12"/>
      <c r="J1392">
        <f>1.6/0.15</f>
        <v>10.666666666666668</v>
      </c>
      <c r="K1392">
        <v>11</v>
      </c>
      <c r="L1392">
        <v>1.4</v>
      </c>
      <c r="M1392">
        <v>3.2810000000000001</v>
      </c>
      <c r="N1392">
        <v>0.66700000000000004</v>
      </c>
      <c r="O1392">
        <f>+K1392*L1392*M1392*N1392/100</f>
        <v>0.337017758</v>
      </c>
    </row>
    <row r="1393" spans="1:17">
      <c r="A1393" s="19"/>
      <c r="B1393" s="95" t="e">
        <f>$B$1391</f>
        <v>#REF!</v>
      </c>
      <c r="C1393" s="62">
        <v>1</v>
      </c>
      <c r="D1393" s="57" t="s">
        <v>1557</v>
      </c>
      <c r="E1393" s="61">
        <f>2750/1.18</f>
        <v>2330.5084745762715</v>
      </c>
      <c r="F1393" s="61">
        <f>+E1393*0.18</f>
        <v>419.49152542372883</v>
      </c>
      <c r="G1393" s="17">
        <f t="shared" ref="G1393" si="145">+C1393*E1393+C1393*F1393</f>
        <v>2750.0000000000005</v>
      </c>
      <c r="H1393" s="12"/>
      <c r="O1393">
        <f>SUM(O1392:O1392)</f>
        <v>0.337017758</v>
      </c>
      <c r="P1393">
        <f>+O1393*1.05</f>
        <v>0.3538686459</v>
      </c>
      <c r="Q1393">
        <f>+P1393/J1391</f>
        <v>0.35106016458333333</v>
      </c>
    </row>
    <row r="1394" spans="1:17" ht="15.75" thickBot="1">
      <c r="A1394" s="21"/>
      <c r="B1394" s="22"/>
      <c r="C1394" s="23"/>
      <c r="D1394" s="24" t="s">
        <v>111</v>
      </c>
      <c r="E1394" s="78"/>
      <c r="F1394" s="79"/>
      <c r="G1394" s="26">
        <f>SUM(G1393:G1393)</f>
        <v>2750.0000000000005</v>
      </c>
      <c r="H1394" s="27" t="s">
        <v>1557</v>
      </c>
    </row>
    <row r="1395" spans="1:17" ht="15.75" thickTop="1">
      <c r="B1395" s="55"/>
    </row>
    <row r="1396" spans="1:17">
      <c r="A1396" s="64"/>
      <c r="B1396" s="370" t="e">
        <f>#REF!</f>
        <v>#REF!</v>
      </c>
      <c r="C1396" s="370"/>
      <c r="D1396" s="370"/>
      <c r="E1396" s="370"/>
      <c r="F1396" s="370"/>
      <c r="G1396" s="370"/>
      <c r="H1396" s="370"/>
      <c r="J1396">
        <v>1.008</v>
      </c>
    </row>
    <row r="1397" spans="1:17">
      <c r="A1397" s="6"/>
      <c r="B1397" s="7"/>
      <c r="C1397" s="8" t="s">
        <v>98</v>
      </c>
      <c r="D1397" s="9" t="s">
        <v>39</v>
      </c>
      <c r="E1397" s="74" t="s">
        <v>99</v>
      </c>
      <c r="F1397" s="75" t="s">
        <v>100</v>
      </c>
      <c r="G1397" s="11" t="s">
        <v>101</v>
      </c>
      <c r="H1397" s="12"/>
      <c r="J1397">
        <f>1.6/0.15</f>
        <v>10.666666666666668</v>
      </c>
      <c r="K1397">
        <v>11</v>
      </c>
      <c r="L1397">
        <v>1.4</v>
      </c>
      <c r="M1397">
        <v>3.2810000000000001</v>
      </c>
      <c r="N1397">
        <v>0.66700000000000004</v>
      </c>
      <c r="O1397">
        <f>+K1397*L1397*M1397*N1397/100</f>
        <v>0.337017758</v>
      </c>
    </row>
    <row r="1398" spans="1:17">
      <c r="A1398" s="19"/>
      <c r="B1398" s="60" t="e">
        <f>+B1396</f>
        <v>#REF!</v>
      </c>
      <c r="C1398" s="62">
        <v>1</v>
      </c>
      <c r="D1398" s="57" t="s">
        <v>1492</v>
      </c>
      <c r="E1398" s="61">
        <f>1350/1.18</f>
        <v>1144.0677966101696</v>
      </c>
      <c r="F1398" s="61">
        <f>+E1398*0.18</f>
        <v>205.93220338983051</v>
      </c>
      <c r="G1398" s="17">
        <f t="shared" ref="G1398" si="146">+C1398*E1398+C1398*F1398</f>
        <v>1350</v>
      </c>
      <c r="H1398" s="12"/>
      <c r="O1398">
        <f>SUM(O1397:O1397)</f>
        <v>0.337017758</v>
      </c>
      <c r="P1398">
        <f>+O1398*1.05</f>
        <v>0.3538686459</v>
      </c>
      <c r="Q1398">
        <f>+P1398/J1396</f>
        <v>0.35106016458333333</v>
      </c>
    </row>
    <row r="1399" spans="1:17" ht="15.75" thickBot="1">
      <c r="A1399" s="21"/>
      <c r="B1399" s="22"/>
      <c r="C1399" s="23"/>
      <c r="D1399" s="24" t="s">
        <v>111</v>
      </c>
      <c r="E1399" s="78"/>
      <c r="F1399" s="79"/>
      <c r="G1399" s="26">
        <f>SUM(G1398:G1398)</f>
        <v>1350</v>
      </c>
      <c r="H1399" s="27" t="s">
        <v>1492</v>
      </c>
    </row>
    <row r="1400" spans="1:17" ht="15.75" thickTop="1">
      <c r="B1400" s="55"/>
    </row>
    <row r="1401" spans="1:17">
      <c r="A1401" s="64"/>
      <c r="B1401" s="370" t="e">
        <f>#REF!</f>
        <v>#REF!</v>
      </c>
      <c r="C1401" s="370"/>
      <c r="D1401" s="370"/>
      <c r="E1401" s="370"/>
      <c r="F1401" s="370"/>
      <c r="G1401" s="370"/>
      <c r="H1401" s="370"/>
      <c r="J1401">
        <v>1.008</v>
      </c>
    </row>
    <row r="1402" spans="1:17">
      <c r="A1402" s="6"/>
      <c r="B1402" s="7"/>
      <c r="C1402" s="8" t="s">
        <v>98</v>
      </c>
      <c r="D1402" s="9" t="s">
        <v>39</v>
      </c>
      <c r="E1402" s="74" t="s">
        <v>99</v>
      </c>
      <c r="F1402" s="75" t="s">
        <v>100</v>
      </c>
      <c r="G1402" s="11" t="s">
        <v>101</v>
      </c>
      <c r="H1402" s="12"/>
      <c r="J1402">
        <f>1.6/0.15</f>
        <v>10.666666666666668</v>
      </c>
      <c r="K1402">
        <v>11</v>
      </c>
      <c r="L1402">
        <v>1.4</v>
      </c>
      <c r="M1402">
        <v>3.2810000000000001</v>
      </c>
      <c r="N1402">
        <v>0.66700000000000004</v>
      </c>
      <c r="O1402">
        <f>+K1402*L1402*M1402*N1402/100</f>
        <v>0.337017758</v>
      </c>
    </row>
    <row r="1403" spans="1:17">
      <c r="A1403" s="19"/>
      <c r="B1403" s="60" t="s">
        <v>1880</v>
      </c>
      <c r="C1403" s="62">
        <v>1</v>
      </c>
      <c r="D1403" s="57" t="s">
        <v>1492</v>
      </c>
      <c r="E1403" s="61">
        <v>95915.26</v>
      </c>
      <c r="F1403" s="61">
        <f>+E1403*0.18</f>
        <v>17264.746799999997</v>
      </c>
      <c r="G1403" s="17">
        <f t="shared" ref="G1403:G1404" si="147">+C1403*E1403+C1403*F1403</f>
        <v>113180.00679999999</v>
      </c>
      <c r="H1403" s="12"/>
      <c r="O1403">
        <f>SUM(O1402:O1402)</f>
        <v>0.337017758</v>
      </c>
      <c r="P1403">
        <f>+O1403*1.05</f>
        <v>0.3538686459</v>
      </c>
      <c r="Q1403">
        <f>+P1403/J1401</f>
        <v>0.35106016458333333</v>
      </c>
    </row>
    <row r="1404" spans="1:17">
      <c r="A1404" s="19"/>
      <c r="B1404" s="60" t="s">
        <v>1661</v>
      </c>
      <c r="C1404" s="62">
        <v>1</v>
      </c>
      <c r="D1404" s="57" t="s">
        <v>40</v>
      </c>
      <c r="E1404" s="61">
        <v>5000</v>
      </c>
      <c r="F1404" s="61"/>
      <c r="G1404" s="17">
        <f t="shared" si="147"/>
        <v>5000</v>
      </c>
      <c r="H1404" s="12"/>
    </row>
    <row r="1405" spans="1:17" ht="15.75" thickBot="1">
      <c r="A1405" s="21"/>
      <c r="B1405" s="22"/>
      <c r="C1405" s="23"/>
      <c r="D1405" s="24" t="s">
        <v>111</v>
      </c>
      <c r="E1405" s="78"/>
      <c r="F1405" s="79"/>
      <c r="G1405" s="26">
        <f>SUM(G1403:G1404)</f>
        <v>118180.00679999999</v>
      </c>
      <c r="H1405" s="27" t="s">
        <v>1492</v>
      </c>
    </row>
    <row r="1406" spans="1:17" ht="15.75" thickTop="1">
      <c r="B1406" s="55"/>
    </row>
    <row r="1407" spans="1:17">
      <c r="A1407" s="64"/>
      <c r="B1407" s="370" t="e">
        <f>#REF!</f>
        <v>#REF!</v>
      </c>
      <c r="C1407" s="370"/>
      <c r="D1407" s="370"/>
      <c r="E1407" s="370"/>
      <c r="F1407" s="370"/>
      <c r="G1407" s="370"/>
      <c r="H1407" s="370"/>
      <c r="J1407">
        <v>1.008</v>
      </c>
    </row>
    <row r="1408" spans="1:17">
      <c r="A1408" s="6"/>
      <c r="B1408" s="7"/>
      <c r="C1408" s="8" t="s">
        <v>98</v>
      </c>
      <c r="D1408" s="9" t="s">
        <v>39</v>
      </c>
      <c r="E1408" s="74" t="s">
        <v>99</v>
      </c>
      <c r="F1408" s="75" t="s">
        <v>100</v>
      </c>
      <c r="G1408" s="11" t="s">
        <v>101</v>
      </c>
      <c r="H1408" s="12"/>
      <c r="J1408">
        <f>1.6/0.15</f>
        <v>10.666666666666668</v>
      </c>
      <c r="K1408">
        <v>11</v>
      </c>
      <c r="L1408">
        <v>1.4</v>
      </c>
      <c r="M1408">
        <v>3.2810000000000001</v>
      </c>
      <c r="N1408">
        <v>0.66700000000000004</v>
      </c>
      <c r="O1408">
        <f>+K1408*L1408*M1408*N1408/100</f>
        <v>0.337017758</v>
      </c>
    </row>
    <row r="1409" spans="1:17">
      <c r="A1409" s="19"/>
      <c r="B1409" s="60" t="e">
        <f>+B1407</f>
        <v>#REF!</v>
      </c>
      <c r="C1409" s="62">
        <v>1</v>
      </c>
      <c r="D1409" s="57" t="s">
        <v>1492</v>
      </c>
      <c r="E1409" s="61">
        <v>57228.14</v>
      </c>
      <c r="F1409" s="61">
        <f>+E1409*0.18</f>
        <v>10301.065199999999</v>
      </c>
      <c r="G1409" s="17">
        <f t="shared" ref="G1409:G1410" si="148">+C1409*E1409+C1409*F1409</f>
        <v>67529.205199999997</v>
      </c>
      <c r="H1409" s="12"/>
      <c r="O1409">
        <f>SUM(O1408:O1408)</f>
        <v>0.337017758</v>
      </c>
      <c r="P1409">
        <f>+O1409*1.05</f>
        <v>0.3538686459</v>
      </c>
      <c r="Q1409">
        <f>+P1409/J1407</f>
        <v>0.35106016458333333</v>
      </c>
    </row>
    <row r="1410" spans="1:17">
      <c r="A1410" s="19"/>
      <c r="B1410" s="60" t="s">
        <v>1881</v>
      </c>
      <c r="C1410" s="62">
        <v>1</v>
      </c>
      <c r="D1410" s="57" t="s">
        <v>40</v>
      </c>
      <c r="E1410" s="61">
        <v>4000</v>
      </c>
      <c r="F1410" s="61"/>
      <c r="G1410" s="17">
        <f t="shared" si="148"/>
        <v>4000</v>
      </c>
      <c r="H1410" s="12"/>
    </row>
    <row r="1411" spans="1:17" ht="15.75" thickBot="1">
      <c r="A1411" s="21"/>
      <c r="B1411" s="22"/>
      <c r="C1411" s="23"/>
      <c r="D1411" s="24" t="s">
        <v>111</v>
      </c>
      <c r="E1411" s="78"/>
      <c r="F1411" s="79"/>
      <c r="G1411" s="26">
        <f>SUM(G1409:G1410)</f>
        <v>71529.205199999997</v>
      </c>
      <c r="H1411" s="27" t="s">
        <v>1492</v>
      </c>
    </row>
    <row r="1412" spans="1:17" ht="15.75" thickTop="1"/>
    <row r="1413" spans="1:17">
      <c r="A1413" s="53"/>
      <c r="B1413" s="53" t="s">
        <v>84</v>
      </c>
      <c r="C1413" s="54"/>
      <c r="D1413" s="54"/>
      <c r="E1413" s="72"/>
      <c r="F1413" s="72"/>
      <c r="G1413" s="54"/>
      <c r="H1413" s="54"/>
    </row>
    <row r="1414" spans="1:17" ht="12.75" customHeight="1">
      <c r="C1414" s="68"/>
    </row>
    <row r="1415" spans="1:17" ht="12.75" customHeight="1">
      <c r="A1415" s="4"/>
      <c r="B1415" s="370" t="s">
        <v>85</v>
      </c>
      <c r="C1415" s="370"/>
      <c r="D1415" s="370"/>
      <c r="E1415" s="370"/>
      <c r="F1415" s="370"/>
      <c r="G1415" s="370"/>
      <c r="H1415" s="370"/>
    </row>
    <row r="1416" spans="1:17" ht="12.75" customHeight="1">
      <c r="A1416" s="6"/>
      <c r="B1416" s="7"/>
      <c r="C1416" s="69" t="s">
        <v>98</v>
      </c>
      <c r="D1416" s="9" t="s">
        <v>39</v>
      </c>
      <c r="E1416" s="74" t="s">
        <v>99</v>
      </c>
      <c r="F1416" s="75" t="s">
        <v>100</v>
      </c>
      <c r="G1416" s="11" t="s">
        <v>101</v>
      </c>
      <c r="H1416" s="12"/>
    </row>
    <row r="1417" spans="1:17" ht="12.75" customHeight="1">
      <c r="A1417" s="13"/>
      <c r="B1417" s="56" t="s">
        <v>1637</v>
      </c>
      <c r="C1417" s="70">
        <v>0.35</v>
      </c>
      <c r="D1417" s="57" t="s">
        <v>1638</v>
      </c>
      <c r="E1417" s="76">
        <v>358.33</v>
      </c>
      <c r="F1417" s="76"/>
      <c r="G1417" s="17">
        <f>+C1417*E1417+C1417*F1417</f>
        <v>125.41549999999998</v>
      </c>
      <c r="H1417" s="18"/>
    </row>
    <row r="1418" spans="1:17" ht="12.75" customHeight="1">
      <c r="A1418" s="13"/>
      <c r="B1418" s="56" t="s">
        <v>1639</v>
      </c>
      <c r="C1418" s="70">
        <f>0.35*4</f>
        <v>1.4</v>
      </c>
      <c r="D1418" s="57" t="s">
        <v>1638</v>
      </c>
      <c r="E1418" s="76">
        <v>123.44</v>
      </c>
      <c r="F1418" s="76"/>
      <c r="G1418" s="17">
        <f>+C1418*E1418+C1418*F1418</f>
        <v>172.81599999999997</v>
      </c>
      <c r="H1418" s="18"/>
    </row>
    <row r="1419" spans="1:17" ht="12.75" customHeight="1">
      <c r="A1419" s="13"/>
      <c r="B1419" s="56" t="s">
        <v>1640</v>
      </c>
      <c r="C1419" s="70">
        <v>0.02</v>
      </c>
      <c r="D1419" s="57" t="s">
        <v>47</v>
      </c>
      <c r="E1419" s="76">
        <f>SUM(G1417:G1418)</f>
        <v>298.23149999999998</v>
      </c>
      <c r="F1419" s="76"/>
      <c r="G1419" s="17">
        <f>+C1419*E1419+C1419*F1419</f>
        <v>5.9646299999999997</v>
      </c>
      <c r="H1419" s="18"/>
    </row>
    <row r="1420" spans="1:17" ht="15.75" thickBot="1">
      <c r="A1420" s="21"/>
      <c r="B1420" s="22"/>
      <c r="C1420" s="71"/>
      <c r="D1420" s="24" t="s">
        <v>111</v>
      </c>
      <c r="E1420" s="78"/>
      <c r="F1420" s="79"/>
      <c r="G1420" s="26">
        <f>SUM(G1417:G1419)</f>
        <v>304.19612999999998</v>
      </c>
      <c r="H1420" s="27" t="s">
        <v>20</v>
      </c>
    </row>
    <row r="1421" spans="1:17" ht="12.75" customHeight="1" thickTop="1">
      <c r="C1421" s="68"/>
    </row>
    <row r="1422" spans="1:17" ht="12.75" customHeight="1">
      <c r="A1422" s="4"/>
      <c r="B1422" s="370" t="s">
        <v>16</v>
      </c>
      <c r="C1422" s="370"/>
      <c r="D1422" s="370"/>
      <c r="E1422" s="370"/>
      <c r="F1422" s="370"/>
      <c r="G1422" s="370"/>
      <c r="H1422" s="370"/>
    </row>
    <row r="1423" spans="1:17" ht="12.75" customHeight="1">
      <c r="A1423" s="6"/>
      <c r="B1423" s="7"/>
      <c r="C1423" s="69" t="s">
        <v>98</v>
      </c>
      <c r="D1423" s="9" t="s">
        <v>39</v>
      </c>
      <c r="E1423" s="74" t="s">
        <v>99</v>
      </c>
      <c r="F1423" s="75" t="s">
        <v>100</v>
      </c>
      <c r="G1423" s="11" t="s">
        <v>101</v>
      </c>
      <c r="H1423" s="12"/>
    </row>
    <row r="1424" spans="1:17" ht="12.75" customHeight="1">
      <c r="A1424" s="13"/>
      <c r="B1424" s="56" t="s">
        <v>1637</v>
      </c>
      <c r="C1424" s="70">
        <v>0.15</v>
      </c>
      <c r="D1424" s="57" t="s">
        <v>1638</v>
      </c>
      <c r="E1424" s="76">
        <v>358.33</v>
      </c>
      <c r="F1424" s="76"/>
      <c r="G1424" s="17">
        <f>+C1424*E1424+C1424*F1424</f>
        <v>53.749499999999998</v>
      </c>
      <c r="H1424" s="18"/>
    </row>
    <row r="1425" spans="1:17" ht="12.75" customHeight="1">
      <c r="A1425" s="13"/>
      <c r="B1425" s="56" t="s">
        <v>1641</v>
      </c>
      <c r="C1425" s="70">
        <v>0.3</v>
      </c>
      <c r="D1425" s="57" t="s">
        <v>1638</v>
      </c>
      <c r="E1425" s="76">
        <v>123.44</v>
      </c>
      <c r="F1425" s="76"/>
      <c r="G1425" s="17">
        <f>+C1425*E1425+C1425*F1425</f>
        <v>37.031999999999996</v>
      </c>
      <c r="H1425" s="18"/>
    </row>
    <row r="1426" spans="1:17" ht="12.75" customHeight="1">
      <c r="A1426" s="13"/>
      <c r="B1426" s="56" t="s">
        <v>1642</v>
      </c>
      <c r="C1426" s="70">
        <v>0.05</v>
      </c>
      <c r="D1426" s="57" t="s">
        <v>47</v>
      </c>
      <c r="E1426" s="76">
        <f>SUM(G1424:G1425)</f>
        <v>90.781499999999994</v>
      </c>
      <c r="F1426" s="76"/>
      <c r="G1426" s="17">
        <f>+C1426*E1426+C1426*F1426</f>
        <v>4.5390749999999995</v>
      </c>
      <c r="H1426" s="18"/>
    </row>
    <row r="1427" spans="1:17" ht="15.75" thickBot="1">
      <c r="A1427" s="21"/>
      <c r="B1427" s="22"/>
      <c r="C1427" s="71"/>
      <c r="D1427" s="24" t="s">
        <v>111</v>
      </c>
      <c r="E1427" s="78"/>
      <c r="F1427" s="79"/>
      <c r="G1427" s="26">
        <f>SUM(G1424:G1426)</f>
        <v>95.320574999999991</v>
      </c>
      <c r="H1427" s="27" t="s">
        <v>20</v>
      </c>
    </row>
    <row r="1428" spans="1:17" ht="15.75" thickTop="1">
      <c r="B1428" s="55"/>
    </row>
    <row r="1429" spans="1:17">
      <c r="A1429" s="4"/>
      <c r="B1429" s="370" t="s">
        <v>18</v>
      </c>
      <c r="C1429" s="370"/>
      <c r="D1429" s="370"/>
      <c r="E1429" s="370"/>
      <c r="F1429" s="370"/>
      <c r="G1429" s="370"/>
      <c r="H1429" s="370"/>
    </row>
    <row r="1430" spans="1:17">
      <c r="A1430" s="6"/>
      <c r="B1430" s="7"/>
      <c r="C1430" s="8" t="s">
        <v>98</v>
      </c>
      <c r="D1430" s="9" t="s">
        <v>39</v>
      </c>
      <c r="E1430" s="74" t="s">
        <v>99</v>
      </c>
      <c r="F1430" s="75" t="s">
        <v>100</v>
      </c>
      <c r="G1430" s="11" t="s">
        <v>101</v>
      </c>
      <c r="H1430" s="12"/>
    </row>
    <row r="1431" spans="1:17">
      <c r="A1431" s="6"/>
      <c r="B1431" s="7"/>
      <c r="C1431" s="8"/>
      <c r="D1431" s="9"/>
      <c r="E1431" s="74"/>
      <c r="F1431" s="75"/>
      <c r="G1431" s="11"/>
      <c r="H1431" s="12"/>
    </row>
    <row r="1432" spans="1:17">
      <c r="A1432" s="19"/>
      <c r="B1432" s="56" t="s">
        <v>1505</v>
      </c>
      <c r="C1432" s="62">
        <v>1</v>
      </c>
      <c r="D1432" s="57" t="s">
        <v>1506</v>
      </c>
      <c r="E1432" s="61">
        <v>78.5</v>
      </c>
      <c r="F1432" s="61"/>
      <c r="G1432" s="17">
        <f>+C1432*E1432+C1432*F1432</f>
        <v>78.5</v>
      </c>
      <c r="H1432" s="12"/>
    </row>
    <row r="1433" spans="1:17">
      <c r="A1433" s="19"/>
      <c r="B1433" s="56" t="s">
        <v>1507</v>
      </c>
      <c r="C1433" s="62">
        <v>5</v>
      </c>
      <c r="D1433" s="57" t="s">
        <v>1506</v>
      </c>
      <c r="E1433" s="61">
        <v>24.76</v>
      </c>
      <c r="F1433" s="61"/>
      <c r="G1433" s="17">
        <f>+C1433*E1433+C1433*F1433</f>
        <v>123.80000000000001</v>
      </c>
      <c r="H1433" s="18"/>
    </row>
    <row r="1434" spans="1:17">
      <c r="A1434" s="19"/>
      <c r="B1434" s="56" t="s">
        <v>1508</v>
      </c>
      <c r="C1434" s="62">
        <v>5</v>
      </c>
      <c r="D1434" s="57" t="s">
        <v>1506</v>
      </c>
      <c r="E1434" s="61">
        <v>19.22</v>
      </c>
      <c r="F1434" s="61"/>
      <c r="G1434" s="17">
        <f>+C1434*E1434+C1434*F1434</f>
        <v>96.1</v>
      </c>
      <c r="H1434" s="12"/>
    </row>
    <row r="1435" spans="1:17">
      <c r="A1435" s="19"/>
      <c r="B1435" s="56"/>
      <c r="C1435" s="62"/>
      <c r="D1435" s="57"/>
      <c r="E1435" s="61"/>
      <c r="F1435" s="61"/>
      <c r="G1435" s="17"/>
      <c r="H1435" s="12"/>
    </row>
    <row r="1436" spans="1:17" ht="15.75" thickBot="1">
      <c r="A1436" s="21"/>
      <c r="B1436" s="22"/>
      <c r="C1436" s="23"/>
      <c r="D1436" s="24" t="s">
        <v>111</v>
      </c>
      <c r="E1436" s="78"/>
      <c r="F1436" s="79"/>
      <c r="G1436" s="26">
        <f>SUM(G1432:G1435)</f>
        <v>298.39999999999998</v>
      </c>
      <c r="H1436" s="27" t="s">
        <v>106</v>
      </c>
    </row>
    <row r="1437" spans="1:17" ht="15.75" thickTop="1">
      <c r="B1437" s="55"/>
    </row>
    <row r="1438" spans="1:17" ht="19.5" customHeight="1">
      <c r="A1438" s="64"/>
      <c r="B1438" s="370" t="e">
        <f>#REF!</f>
        <v>#REF!</v>
      </c>
      <c r="C1438" s="370"/>
      <c r="D1438" s="370"/>
      <c r="E1438" s="370"/>
      <c r="F1438" s="370"/>
      <c r="G1438" s="370"/>
      <c r="H1438" s="370"/>
      <c r="J1438">
        <f>0.3*0.2</f>
        <v>0.06</v>
      </c>
      <c r="K1438">
        <v>83</v>
      </c>
      <c r="L1438">
        <f>0.3+0.1*2</f>
        <v>0.5</v>
      </c>
      <c r="M1438">
        <v>3.2810000000000001</v>
      </c>
      <c r="N1438">
        <v>0.378</v>
      </c>
      <c r="O1438">
        <f>+K1438*L1438*M1438*N1438/100</f>
        <v>0.51469047000000012</v>
      </c>
    </row>
    <row r="1439" spans="1:17">
      <c r="A1439" s="6"/>
      <c r="B1439" s="7"/>
      <c r="C1439" s="8" t="s">
        <v>98</v>
      </c>
      <c r="D1439" s="9" t="s">
        <v>39</v>
      </c>
      <c r="E1439" s="74" t="s">
        <v>99</v>
      </c>
      <c r="F1439" s="75" t="s">
        <v>100</v>
      </c>
      <c r="G1439" s="11" t="s">
        <v>101</v>
      </c>
      <c r="H1439" s="12"/>
      <c r="J1439">
        <f>1/J1438</f>
        <v>16.666666666666668</v>
      </c>
      <c r="K1439">
        <v>3</v>
      </c>
      <c r="L1439">
        <v>16.66666</v>
      </c>
      <c r="M1439">
        <v>3.2810000000000001</v>
      </c>
      <c r="N1439">
        <v>0.378</v>
      </c>
      <c r="O1439">
        <f>+K1439*L1439*M1439*N1439/100</f>
        <v>0.62010875195639992</v>
      </c>
    </row>
    <row r="1440" spans="1:17">
      <c r="A1440" s="19"/>
      <c r="B1440" s="56" t="s">
        <v>1682</v>
      </c>
      <c r="C1440" s="62">
        <v>1.05</v>
      </c>
      <c r="D1440" s="57" t="s">
        <v>1510</v>
      </c>
      <c r="E1440" s="61">
        <f>'Analisis Auxiliares'!$G$22</f>
        <v>6666</v>
      </c>
      <c r="F1440" s="61"/>
      <c r="G1440" s="17">
        <f>+C1440*E1440+C1440*F1440</f>
        <v>6999.3</v>
      </c>
      <c r="H1440" s="12"/>
      <c r="J1440">
        <f>+J1439/0.2</f>
        <v>83.333333333333329</v>
      </c>
      <c r="O1440">
        <f>SUM(O1438:O1439)</f>
        <v>1.1347992219564</v>
      </c>
      <c r="P1440">
        <f>+O1440*1.05</f>
        <v>1.1915391830542201</v>
      </c>
      <c r="Q1440">
        <f>+P1440/J1438</f>
        <v>19.858986384237003</v>
      </c>
    </row>
    <row r="1441" spans="1:17">
      <c r="A1441" s="19"/>
      <c r="B1441" s="56" t="s">
        <v>1646</v>
      </c>
      <c r="C1441" s="62">
        <v>1.19</v>
      </c>
      <c r="D1441" s="57" t="s">
        <v>1513</v>
      </c>
      <c r="E1441" s="61">
        <f>Materiales!$D$38</f>
        <v>3305.0847457627119</v>
      </c>
      <c r="F1441" s="61">
        <f t="shared" ref="F1441:F1442" si="149">+E1441*0.18</f>
        <v>594.91525423728808</v>
      </c>
      <c r="G1441" s="17">
        <f>+C1441*E1441+C1441*F1441</f>
        <v>4641</v>
      </c>
      <c r="H1441" s="18"/>
      <c r="P1441">
        <f>+P1440/J1442</f>
        <v>8.8262161707719997</v>
      </c>
    </row>
    <row r="1442" spans="1:17">
      <c r="A1442" s="19"/>
      <c r="B1442" s="56" t="s">
        <v>1514</v>
      </c>
      <c r="C1442" s="62">
        <f>+C1441*2</f>
        <v>2.38</v>
      </c>
      <c r="D1442" s="57" t="s">
        <v>1515</v>
      </c>
      <c r="E1442" s="61">
        <f>Materiales!$D$50</f>
        <v>93.220338983050851</v>
      </c>
      <c r="F1442" s="61">
        <f t="shared" si="149"/>
        <v>16.779661016949152</v>
      </c>
      <c r="G1442" s="17">
        <f>+C1442*E1442+C1442*F1442</f>
        <v>261.8</v>
      </c>
      <c r="H1442" s="12"/>
      <c r="I1442">
        <f>0.9/0.2</f>
        <v>4.5</v>
      </c>
      <c r="J1442">
        <f>0.6*0.9*0.25</f>
        <v>0.13500000000000001</v>
      </c>
      <c r="L1442">
        <f>0.6*0.25</f>
        <v>0.15</v>
      </c>
      <c r="M1442">
        <f>1/L1442</f>
        <v>6.666666666666667</v>
      </c>
    </row>
    <row r="1443" spans="1:17">
      <c r="A1443" s="19"/>
      <c r="B1443" s="56" t="s">
        <v>1516</v>
      </c>
      <c r="C1443" s="62">
        <v>16.66666</v>
      </c>
      <c r="D1443" s="57" t="s">
        <v>43</v>
      </c>
      <c r="E1443" s="61">
        <v>107.87</v>
      </c>
      <c r="F1443" s="61"/>
      <c r="G1443" s="17">
        <f>+C1443*E1443+C1443*F1443</f>
        <v>1797.8326142000001</v>
      </c>
      <c r="H1443" s="12"/>
    </row>
    <row r="1444" spans="1:17" ht="15.75" thickBot="1">
      <c r="A1444" s="21"/>
      <c r="B1444" s="22"/>
      <c r="C1444" s="23"/>
      <c r="D1444" s="24" t="s">
        <v>111</v>
      </c>
      <c r="E1444" s="78"/>
      <c r="F1444" s="79"/>
      <c r="G1444" s="26">
        <f>SUM(G1440:G1443)</f>
        <v>13699.932614199999</v>
      </c>
      <c r="H1444" s="27" t="s">
        <v>106</v>
      </c>
    </row>
    <row r="1445" spans="1:17" ht="15.75" thickTop="1">
      <c r="B1445" s="55"/>
    </row>
    <row r="1446" spans="1:17">
      <c r="A1446" s="64"/>
      <c r="B1446" s="370" t="s">
        <v>86</v>
      </c>
      <c r="C1446" s="370"/>
      <c r="D1446" s="370"/>
      <c r="E1446" s="370"/>
      <c r="F1446" s="370"/>
      <c r="G1446" s="370"/>
      <c r="H1446" s="370"/>
      <c r="J1446">
        <v>1.008</v>
      </c>
    </row>
    <row r="1447" spans="1:17">
      <c r="A1447" s="6"/>
      <c r="B1447" s="7"/>
      <c r="C1447" s="8" t="s">
        <v>98</v>
      </c>
      <c r="D1447" s="9" t="s">
        <v>39</v>
      </c>
      <c r="E1447" s="74" t="s">
        <v>99</v>
      </c>
      <c r="F1447" s="75" t="s">
        <v>100</v>
      </c>
      <c r="G1447" s="11" t="s">
        <v>101</v>
      </c>
      <c r="H1447" s="12"/>
      <c r="J1447">
        <f>1.6/0.15</f>
        <v>10.666666666666668</v>
      </c>
      <c r="K1447">
        <v>11</v>
      </c>
      <c r="L1447">
        <v>1.4</v>
      </c>
      <c r="M1447">
        <v>3.2810000000000001</v>
      </c>
      <c r="N1447">
        <v>0.66700000000000004</v>
      </c>
      <c r="O1447">
        <f>+K1447*L1447*M1447*N1447/100</f>
        <v>0.337017758</v>
      </c>
    </row>
    <row r="1448" spans="1:17">
      <c r="A1448" s="19"/>
      <c r="B1448" s="56" t="s">
        <v>1521</v>
      </c>
      <c r="C1448" s="62">
        <v>13</v>
      </c>
      <c r="D1448" s="57" t="s">
        <v>3</v>
      </c>
      <c r="E1448" s="61">
        <f>Materiales!$D$117</f>
        <v>34.745762711864408</v>
      </c>
      <c r="F1448" s="61">
        <f>+E1448*0.18</f>
        <v>6.2542372881355934</v>
      </c>
      <c r="G1448" s="17">
        <f>+C1448*E1448+C1448*F1448</f>
        <v>533</v>
      </c>
      <c r="H1448" s="12"/>
      <c r="O1448">
        <f>SUM(O1447:O1447)</f>
        <v>0.337017758</v>
      </c>
      <c r="P1448">
        <f>+O1448*1.05</f>
        <v>0.3538686459</v>
      </c>
      <c r="Q1448">
        <f>+P1448/J1446</f>
        <v>0.35106016458333333</v>
      </c>
    </row>
    <row r="1449" spans="1:17">
      <c r="A1449" s="19"/>
      <c r="B1449" s="56" t="s">
        <v>1522</v>
      </c>
      <c r="C1449" s="62">
        <v>3.1093333333333337E-2</v>
      </c>
      <c r="D1449" s="57" t="s">
        <v>20</v>
      </c>
      <c r="E1449" s="61">
        <f>'Analisis Auxiliares'!$G$11</f>
        <v>5880</v>
      </c>
      <c r="F1449" s="61"/>
      <c r="G1449" s="17">
        <f>+C1449*E1449+C1449*F1449</f>
        <v>182.82880000000003</v>
      </c>
      <c r="H1449" s="18"/>
    </row>
    <row r="1450" spans="1:17">
      <c r="A1450" s="19"/>
      <c r="B1450" s="56" t="s">
        <v>1523</v>
      </c>
      <c r="C1450" s="62">
        <v>2.0799999999999999E-2</v>
      </c>
      <c r="D1450" s="57" t="s">
        <v>20</v>
      </c>
      <c r="E1450" s="61">
        <f>'Analisis Auxiliares'!$G$44</f>
        <v>6785.5</v>
      </c>
      <c r="F1450" s="61"/>
      <c r="G1450" s="17">
        <f>+C1450*E1450+C1450*F1450</f>
        <v>141.13839999999999</v>
      </c>
      <c r="H1450" s="12"/>
    </row>
    <row r="1451" spans="1:17">
      <c r="A1451" s="19"/>
      <c r="B1451" s="56" t="s">
        <v>1524</v>
      </c>
      <c r="C1451" s="62">
        <v>2.6500000000000003E-2</v>
      </c>
      <c r="D1451" s="57" t="s">
        <v>164</v>
      </c>
      <c r="E1451" s="61">
        <f>Materiales!$D$38</f>
        <v>3305.0847457627119</v>
      </c>
      <c r="F1451" s="61">
        <f t="shared" ref="F1451:F1452" si="150">+E1451*0.18</f>
        <v>594.91525423728808</v>
      </c>
      <c r="G1451" s="17">
        <f t="shared" ref="G1451:G1454" si="151">+C1451*E1451+C1451*F1451</f>
        <v>103.35000000000001</v>
      </c>
      <c r="H1451" s="12"/>
    </row>
    <row r="1452" spans="1:17">
      <c r="A1452" s="19"/>
      <c r="B1452" s="56" t="s">
        <v>1525</v>
      </c>
      <c r="C1452" s="62">
        <v>2.1000000000000001E-2</v>
      </c>
      <c r="D1452" s="57" t="s">
        <v>178</v>
      </c>
      <c r="E1452" s="61">
        <f>110/1.18</f>
        <v>93.220338983050851</v>
      </c>
      <c r="F1452" s="61">
        <f t="shared" si="150"/>
        <v>16.779661016949152</v>
      </c>
      <c r="G1452" s="17">
        <f t="shared" si="151"/>
        <v>2.31</v>
      </c>
      <c r="H1452" s="12"/>
    </row>
    <row r="1453" spans="1:17">
      <c r="A1453" s="19"/>
      <c r="B1453" s="56" t="s">
        <v>1526</v>
      </c>
      <c r="C1453" s="62">
        <v>0</v>
      </c>
      <c r="D1453" s="57" t="s">
        <v>9</v>
      </c>
      <c r="E1453" s="61">
        <v>35</v>
      </c>
      <c r="F1453" s="61"/>
      <c r="G1453" s="17">
        <f t="shared" si="151"/>
        <v>0</v>
      </c>
      <c r="H1453" s="12"/>
    </row>
    <row r="1454" spans="1:17">
      <c r="A1454" s="19"/>
      <c r="B1454" s="56" t="s">
        <v>1527</v>
      </c>
      <c r="C1454" s="62">
        <v>13</v>
      </c>
      <c r="D1454" s="57" t="s">
        <v>3</v>
      </c>
      <c r="E1454" s="61">
        <v>23.46</v>
      </c>
      <c r="F1454" s="61"/>
      <c r="G1454" s="17">
        <f t="shared" si="151"/>
        <v>304.98</v>
      </c>
      <c r="H1454" s="12"/>
    </row>
    <row r="1455" spans="1:17" ht="15.75" thickBot="1">
      <c r="A1455" s="21"/>
      <c r="B1455" s="22"/>
      <c r="C1455" s="23"/>
      <c r="D1455" s="24" t="s">
        <v>111</v>
      </c>
      <c r="E1455" s="78"/>
      <c r="F1455" s="79"/>
      <c r="G1455" s="26">
        <f>SUM(G1448:G1454)</f>
        <v>1267.6071999999999</v>
      </c>
      <c r="H1455" s="27" t="s">
        <v>21</v>
      </c>
    </row>
    <row r="1456" spans="1:17" ht="15.75" thickTop="1">
      <c r="B1456" s="55"/>
    </row>
    <row r="1457" spans="1:17">
      <c r="A1457" s="64"/>
      <c r="B1457" s="370" t="s">
        <v>23</v>
      </c>
      <c r="C1457" s="370"/>
      <c r="D1457" s="370"/>
      <c r="E1457" s="370"/>
      <c r="F1457" s="370"/>
      <c r="G1457" s="370"/>
      <c r="H1457" s="370"/>
      <c r="J1457">
        <v>1.008</v>
      </c>
    </row>
    <row r="1458" spans="1:17">
      <c r="A1458" s="6"/>
      <c r="B1458" s="7"/>
      <c r="C1458" s="8" t="s">
        <v>98</v>
      </c>
      <c r="D1458" s="9" t="s">
        <v>39</v>
      </c>
      <c r="E1458" s="74" t="s">
        <v>99</v>
      </c>
      <c r="F1458" s="75" t="s">
        <v>100</v>
      </c>
      <c r="G1458" s="11" t="s">
        <v>101</v>
      </c>
      <c r="H1458" s="12"/>
      <c r="J1458">
        <f>1.6/0.15</f>
        <v>10.666666666666668</v>
      </c>
      <c r="K1458">
        <v>11</v>
      </c>
      <c r="L1458">
        <v>1.4</v>
      </c>
      <c r="M1458">
        <v>3.2810000000000001</v>
      </c>
      <c r="N1458">
        <v>0.66700000000000004</v>
      </c>
      <c r="O1458">
        <f>+K1458*L1458*M1458*N1458/100</f>
        <v>0.337017758</v>
      </c>
    </row>
    <row r="1459" spans="1:17">
      <c r="A1459" s="19"/>
      <c r="B1459" s="56" t="s">
        <v>1521</v>
      </c>
      <c r="C1459" s="62">
        <v>13</v>
      </c>
      <c r="D1459" s="57" t="s">
        <v>3</v>
      </c>
      <c r="E1459" s="61">
        <f>Materiales!$D$117</f>
        <v>34.745762711864408</v>
      </c>
      <c r="F1459" s="61">
        <f>+E1459*0.18</f>
        <v>6.2542372881355934</v>
      </c>
      <c r="G1459" s="17">
        <f>+C1459*E1459+C1459*F1459</f>
        <v>533</v>
      </c>
      <c r="H1459" s="12"/>
      <c r="O1459">
        <f>SUM(O1458:O1458)</f>
        <v>0.337017758</v>
      </c>
      <c r="P1459">
        <f>+O1459*1.05</f>
        <v>0.3538686459</v>
      </c>
      <c r="Q1459">
        <f>+P1459/J1457</f>
        <v>0.35106016458333333</v>
      </c>
    </row>
    <row r="1460" spans="1:17">
      <c r="A1460" s="19"/>
      <c r="B1460" s="56" t="s">
        <v>1522</v>
      </c>
      <c r="C1460" s="62">
        <v>3.1093333333333337E-2</v>
      </c>
      <c r="D1460" s="57" t="s">
        <v>20</v>
      </c>
      <c r="E1460" s="61">
        <f>'Analisis Auxiliares'!$G$11</f>
        <v>5880</v>
      </c>
      <c r="F1460" s="61"/>
      <c r="G1460" s="17">
        <f>+C1460*E1460+C1460*F1460</f>
        <v>182.82880000000003</v>
      </c>
      <c r="H1460" s="18"/>
    </row>
    <row r="1461" spans="1:17">
      <c r="A1461" s="19"/>
      <c r="B1461" s="56" t="s">
        <v>1523</v>
      </c>
      <c r="C1461" s="62">
        <v>2.0799999999999999E-2</v>
      </c>
      <c r="D1461" s="57" t="s">
        <v>20</v>
      </c>
      <c r="E1461" s="61">
        <f>'Analisis Auxiliares'!$G$44</f>
        <v>6785.5</v>
      </c>
      <c r="F1461" s="61"/>
      <c r="G1461" s="17">
        <f>+C1461*E1461+C1461*F1461</f>
        <v>141.13839999999999</v>
      </c>
      <c r="H1461" s="12"/>
    </row>
    <row r="1462" spans="1:17">
      <c r="A1462" s="19"/>
      <c r="B1462" s="56" t="s">
        <v>1524</v>
      </c>
      <c r="C1462" s="62">
        <v>2.6500000000000003E-2</v>
      </c>
      <c r="D1462" s="57" t="s">
        <v>164</v>
      </c>
      <c r="E1462" s="61">
        <f>Materiales!$D$38</f>
        <v>3305.0847457627119</v>
      </c>
      <c r="F1462" s="61">
        <f t="shared" ref="F1462:F1463" si="152">+E1462*0.18</f>
        <v>594.91525423728808</v>
      </c>
      <c r="G1462" s="17">
        <f t="shared" ref="G1462:G1465" si="153">+C1462*E1462+C1462*F1462</f>
        <v>103.35000000000001</v>
      </c>
      <c r="H1462" s="12"/>
    </row>
    <row r="1463" spans="1:17">
      <c r="A1463" s="19"/>
      <c r="B1463" s="56" t="s">
        <v>1525</v>
      </c>
      <c r="C1463" s="62">
        <v>2.1000000000000001E-2</v>
      </c>
      <c r="D1463" s="57" t="s">
        <v>178</v>
      </c>
      <c r="E1463" s="61">
        <f>110/1.18</f>
        <v>93.220338983050851</v>
      </c>
      <c r="F1463" s="61">
        <f t="shared" si="152"/>
        <v>16.779661016949152</v>
      </c>
      <c r="G1463" s="17">
        <f t="shared" si="153"/>
        <v>2.31</v>
      </c>
      <c r="H1463" s="12"/>
    </row>
    <row r="1464" spans="1:17">
      <c r="A1464" s="19"/>
      <c r="B1464" s="56" t="s">
        <v>1526</v>
      </c>
      <c r="C1464" s="62">
        <v>0</v>
      </c>
      <c r="D1464" s="57" t="s">
        <v>9</v>
      </c>
      <c r="E1464" s="61">
        <v>35</v>
      </c>
      <c r="F1464" s="61"/>
      <c r="G1464" s="17">
        <f t="shared" si="153"/>
        <v>0</v>
      </c>
      <c r="H1464" s="12"/>
    </row>
    <row r="1465" spans="1:17">
      <c r="A1465" s="19"/>
      <c r="B1465" s="56" t="s">
        <v>1527</v>
      </c>
      <c r="C1465" s="62">
        <v>13</v>
      </c>
      <c r="D1465" s="57" t="s">
        <v>3</v>
      </c>
      <c r="E1465" s="61">
        <v>23.46</v>
      </c>
      <c r="F1465" s="61"/>
      <c r="G1465" s="17">
        <f t="shared" si="153"/>
        <v>304.98</v>
      </c>
      <c r="H1465" s="12"/>
    </row>
    <row r="1466" spans="1:17" ht="15.75" thickBot="1">
      <c r="A1466" s="21"/>
      <c r="B1466" s="22"/>
      <c r="C1466" s="23"/>
      <c r="D1466" s="24" t="s">
        <v>111</v>
      </c>
      <c r="E1466" s="78"/>
      <c r="F1466" s="79"/>
      <c r="G1466" s="26">
        <f>SUM(G1459:G1465)</f>
        <v>1267.6071999999999</v>
      </c>
      <c r="H1466" s="27" t="s">
        <v>21</v>
      </c>
    </row>
    <row r="1467" spans="1:17" ht="15.75" thickTop="1">
      <c r="B1467" s="55"/>
    </row>
    <row r="1468" spans="1:17">
      <c r="A1468" s="64"/>
      <c r="B1468" s="370" t="e">
        <f>#REF!</f>
        <v>#REF!</v>
      </c>
      <c r="C1468" s="370"/>
      <c r="D1468" s="370"/>
      <c r="E1468" s="370"/>
      <c r="F1468" s="370"/>
      <c r="G1468" s="370"/>
      <c r="H1468" s="370"/>
      <c r="J1468">
        <v>1.008</v>
      </c>
    </row>
    <row r="1469" spans="1:17">
      <c r="A1469" s="6"/>
      <c r="B1469" s="7"/>
      <c r="C1469" s="8" t="s">
        <v>98</v>
      </c>
      <c r="D1469" s="9" t="s">
        <v>39</v>
      </c>
      <c r="E1469" s="74" t="s">
        <v>99</v>
      </c>
      <c r="F1469" s="75" t="s">
        <v>100</v>
      </c>
      <c r="G1469" s="11" t="s">
        <v>101</v>
      </c>
      <c r="H1469" s="12"/>
      <c r="J1469">
        <f>1.6/0.15</f>
        <v>10.666666666666668</v>
      </c>
      <c r="K1469">
        <v>11</v>
      </c>
      <c r="L1469">
        <v>1.4</v>
      </c>
      <c r="M1469">
        <v>3.2810000000000001</v>
      </c>
      <c r="N1469">
        <v>0.66700000000000004</v>
      </c>
      <c r="O1469">
        <f>+K1469*L1469*M1469*N1469/100</f>
        <v>0.337017758</v>
      </c>
    </row>
    <row r="1470" spans="1:17">
      <c r="A1470" s="6"/>
      <c r="B1470" s="7"/>
      <c r="C1470" s="8"/>
      <c r="D1470" s="9"/>
      <c r="E1470" s="74"/>
      <c r="F1470" s="75"/>
      <c r="G1470" s="11"/>
      <c r="H1470" s="12"/>
      <c r="J1470">
        <f>1.4/0.15</f>
        <v>9.3333333333333339</v>
      </c>
      <c r="K1470">
        <v>9</v>
      </c>
      <c r="L1470">
        <v>1.6</v>
      </c>
      <c r="M1470">
        <v>3.2810000000000001</v>
      </c>
      <c r="N1470">
        <v>0.66700000000000004</v>
      </c>
      <c r="O1470">
        <f>+K1470*L1470*M1470*N1470/100</f>
        <v>0.31513348800000002</v>
      </c>
    </row>
    <row r="1471" spans="1:17">
      <c r="A1471" s="19"/>
      <c r="B1471" s="56" t="s">
        <v>1528</v>
      </c>
      <c r="C1471" s="62">
        <v>2.1899999999999999E-2</v>
      </c>
      <c r="D1471" s="57" t="s">
        <v>20</v>
      </c>
      <c r="E1471" s="61">
        <f>'Analisis Auxiliares'!$G$55</f>
        <v>8214.5499999999993</v>
      </c>
      <c r="F1471" s="61"/>
      <c r="G1471" s="17">
        <f>+C1471*E1471+C1471*F1471</f>
        <v>179.89864499999999</v>
      </c>
      <c r="H1471" s="12"/>
      <c r="O1471">
        <f>SUM(O1469:O1470)</f>
        <v>0.65215124600000007</v>
      </c>
      <c r="P1471">
        <f>+O1471*1.05</f>
        <v>0.68475880830000013</v>
      </c>
      <c r="Q1471">
        <f>+P1471/J1468</f>
        <v>0.67932421458333347</v>
      </c>
    </row>
    <row r="1472" spans="1:17">
      <c r="A1472" s="19"/>
      <c r="B1472" s="56" t="s">
        <v>1529</v>
      </c>
      <c r="C1472" s="62">
        <v>0.16669999999999999</v>
      </c>
      <c r="D1472" s="57" t="s">
        <v>190</v>
      </c>
      <c r="E1472" s="61">
        <f>Materiales!$D$64</f>
        <v>101.69491525423729</v>
      </c>
      <c r="F1472" s="61">
        <f>+E1472*0.18</f>
        <v>18.305084745762709</v>
      </c>
      <c r="G1472" s="17">
        <f>+C1472*E1472+C1472*F1472</f>
        <v>20.003999999999998</v>
      </c>
      <c r="H1472" s="18"/>
    </row>
    <row r="1473" spans="1:17">
      <c r="A1473" s="19"/>
      <c r="B1473" s="56" t="s">
        <v>1531</v>
      </c>
      <c r="C1473" s="62">
        <v>1</v>
      </c>
      <c r="D1473" s="57" t="s">
        <v>9</v>
      </c>
      <c r="E1473" s="61">
        <v>35</v>
      </c>
      <c r="F1473" s="61"/>
      <c r="G1473" s="17">
        <f>+C1473*E1473+C1473*F1473</f>
        <v>35</v>
      </c>
      <c r="H1473" s="18"/>
    </row>
    <row r="1474" spans="1:17">
      <c r="A1474" s="19"/>
      <c r="B1474" s="56" t="s">
        <v>1532</v>
      </c>
      <c r="C1474" s="62">
        <v>1</v>
      </c>
      <c r="D1474" s="57" t="s">
        <v>9</v>
      </c>
      <c r="E1474" s="61">
        <v>199.95</v>
      </c>
      <c r="F1474" s="61">
        <v>0</v>
      </c>
      <c r="G1474" s="17">
        <f>+C1474*E1474+C1474*F1474</f>
        <v>199.95</v>
      </c>
      <c r="H1474" s="12"/>
    </row>
    <row r="1475" spans="1:17" ht="15.75" thickBot="1">
      <c r="A1475" s="21"/>
      <c r="B1475" s="22"/>
      <c r="C1475" s="23"/>
      <c r="D1475" s="24" t="s">
        <v>111</v>
      </c>
      <c r="E1475" s="78"/>
      <c r="F1475" s="79"/>
      <c r="G1475" s="26">
        <f>SUM(G1471:G1474)</f>
        <v>434.85264499999994</v>
      </c>
      <c r="H1475" s="27" t="s">
        <v>21</v>
      </c>
    </row>
    <row r="1476" spans="1:17" ht="15.75" thickTop="1">
      <c r="B1476" s="55"/>
    </row>
    <row r="1477" spans="1:17">
      <c r="A1477" s="64"/>
      <c r="B1477" s="370" t="e">
        <f>#REF!</f>
        <v>#REF!</v>
      </c>
      <c r="C1477" s="370"/>
      <c r="D1477" s="370"/>
      <c r="E1477" s="370"/>
      <c r="F1477" s="370"/>
      <c r="G1477" s="370"/>
      <c r="H1477" s="370"/>
      <c r="J1477">
        <v>1.008</v>
      </c>
    </row>
    <row r="1478" spans="1:17">
      <c r="A1478" s="6"/>
      <c r="B1478" s="7"/>
      <c r="C1478" s="8" t="s">
        <v>98</v>
      </c>
      <c r="D1478" s="9" t="s">
        <v>39</v>
      </c>
      <c r="E1478" s="74" t="s">
        <v>99</v>
      </c>
      <c r="F1478" s="75" t="s">
        <v>100</v>
      </c>
      <c r="G1478" s="11" t="s">
        <v>101</v>
      </c>
      <c r="H1478" s="12"/>
      <c r="J1478">
        <f>1.6/0.15</f>
        <v>10.666666666666668</v>
      </c>
      <c r="K1478">
        <v>11</v>
      </c>
      <c r="L1478">
        <v>1.4</v>
      </c>
      <c r="M1478">
        <v>3.2810000000000001</v>
      </c>
      <c r="N1478">
        <v>0.66700000000000004</v>
      </c>
      <c r="O1478">
        <f>+K1478*L1478*M1478*N1478/100</f>
        <v>0.337017758</v>
      </c>
    </row>
    <row r="1479" spans="1:17">
      <c r="A1479" s="6"/>
      <c r="B1479" s="7"/>
      <c r="C1479" s="8"/>
      <c r="D1479" s="9"/>
      <c r="E1479" s="74"/>
      <c r="F1479" s="75"/>
      <c r="G1479" s="11"/>
      <c r="H1479" s="12"/>
      <c r="J1479">
        <f>1.4/0.15</f>
        <v>9.3333333333333339</v>
      </c>
      <c r="K1479">
        <v>9</v>
      </c>
      <c r="L1479">
        <v>1.6</v>
      </c>
      <c r="M1479">
        <v>3.2810000000000001</v>
      </c>
      <c r="N1479">
        <v>0.66700000000000004</v>
      </c>
      <c r="O1479">
        <f>+K1479*L1479*M1479*N1479/100</f>
        <v>0.31513348800000002</v>
      </c>
    </row>
    <row r="1480" spans="1:17">
      <c r="A1480" s="19"/>
      <c r="B1480" s="56" t="s">
        <v>1535</v>
      </c>
      <c r="C1480" s="65">
        <v>2.5000000000000001E-3</v>
      </c>
      <c r="D1480" s="57" t="s">
        <v>20</v>
      </c>
      <c r="E1480" s="61">
        <f>'Analisis Auxiliares'!$G$55</f>
        <v>8214.5499999999993</v>
      </c>
      <c r="F1480" s="61"/>
      <c r="G1480" s="17">
        <f>+C1480*E1480+C1480*F1480</f>
        <v>20.536375</v>
      </c>
      <c r="H1480" s="12"/>
      <c r="O1480">
        <f>SUM(O1478:O1479)</f>
        <v>0.65215124600000007</v>
      </c>
      <c r="P1480">
        <f>+O1480*1.05</f>
        <v>0.68475880830000013</v>
      </c>
      <c r="Q1480">
        <f>+P1480/J1477</f>
        <v>0.67932421458333347</v>
      </c>
    </row>
    <row r="1481" spans="1:17">
      <c r="A1481" s="19"/>
      <c r="B1481" s="56" t="s">
        <v>1536</v>
      </c>
      <c r="C1481" s="62">
        <v>0.33329999999999999</v>
      </c>
      <c r="D1481" s="57" t="s">
        <v>190</v>
      </c>
      <c r="E1481" s="61">
        <f>Materiales!$D$64</f>
        <v>101.69491525423729</v>
      </c>
      <c r="F1481" s="61">
        <f>+E1481*0.18</f>
        <v>18.305084745762709</v>
      </c>
      <c r="G1481" s="17">
        <f>+C1481*E1481+C1481*F1481</f>
        <v>39.995999999999995</v>
      </c>
      <c r="H1481" s="18"/>
    </row>
    <row r="1482" spans="1:17">
      <c r="A1482" s="19"/>
      <c r="B1482" s="56" t="s">
        <v>1695</v>
      </c>
      <c r="C1482" s="62">
        <v>1</v>
      </c>
      <c r="D1482" s="57" t="s">
        <v>14</v>
      </c>
      <c r="E1482" s="61">
        <v>61.37</v>
      </c>
      <c r="F1482" s="61">
        <v>0</v>
      </c>
      <c r="G1482" s="17">
        <f>+C1482*E1482+C1482*F1482</f>
        <v>61.37</v>
      </c>
      <c r="H1482" s="12"/>
    </row>
    <row r="1483" spans="1:17" ht="15.75" thickBot="1">
      <c r="A1483" s="21"/>
      <c r="B1483" s="22"/>
      <c r="C1483" s="23"/>
      <c r="D1483" s="24" t="s">
        <v>111</v>
      </c>
      <c r="E1483" s="78"/>
      <c r="F1483" s="79"/>
      <c r="G1483" s="26">
        <f>SUM(G1480:G1482)</f>
        <v>121.90237499999999</v>
      </c>
      <c r="H1483" s="27" t="s">
        <v>43</v>
      </c>
    </row>
    <row r="1484" spans="1:17" ht="15.75" thickTop="1">
      <c r="B1484" s="55"/>
    </row>
    <row r="1485" spans="1:17">
      <c r="A1485" s="64"/>
      <c r="B1485" s="370" t="e">
        <f>#REF!</f>
        <v>#REF!</v>
      </c>
      <c r="C1485" s="370"/>
      <c r="D1485" s="370"/>
      <c r="E1485" s="370"/>
      <c r="F1485" s="370"/>
      <c r="G1485" s="370"/>
      <c r="H1485" s="370"/>
      <c r="J1485">
        <v>1.008</v>
      </c>
    </row>
    <row r="1486" spans="1:17">
      <c r="A1486" s="6"/>
      <c r="B1486" s="7"/>
      <c r="C1486" s="8" t="s">
        <v>98</v>
      </c>
      <c r="D1486" s="9" t="s">
        <v>39</v>
      </c>
      <c r="E1486" s="74" t="s">
        <v>99</v>
      </c>
      <c r="F1486" s="75" t="s">
        <v>100</v>
      </c>
      <c r="G1486" s="11" t="s">
        <v>101</v>
      </c>
      <c r="H1486" s="12"/>
      <c r="J1486">
        <f>1.6/0.15</f>
        <v>10.666666666666668</v>
      </c>
      <c r="K1486">
        <v>11</v>
      </c>
      <c r="L1486">
        <v>1.4</v>
      </c>
      <c r="M1486">
        <v>3.2810000000000001</v>
      </c>
      <c r="N1486">
        <v>0.66700000000000004</v>
      </c>
      <c r="O1486">
        <f>+K1486*L1486*M1486*N1486/100</f>
        <v>0.337017758</v>
      </c>
    </row>
    <row r="1487" spans="1:17">
      <c r="A1487" s="6"/>
      <c r="B1487" s="7"/>
      <c r="C1487" s="8"/>
      <c r="D1487" s="9"/>
      <c r="E1487" s="74"/>
      <c r="F1487" s="75"/>
      <c r="G1487" s="11"/>
      <c r="H1487" s="12"/>
      <c r="J1487">
        <f>1.4/0.15</f>
        <v>9.3333333333333339</v>
      </c>
      <c r="K1487">
        <v>9</v>
      </c>
      <c r="L1487">
        <v>1.6</v>
      </c>
      <c r="M1487">
        <v>3.2810000000000001</v>
      </c>
      <c r="N1487">
        <v>0.66700000000000004</v>
      </c>
      <c r="O1487">
        <f>+K1487*L1487*M1487*N1487/100</f>
        <v>0.31513348800000002</v>
      </c>
    </row>
    <row r="1488" spans="1:17">
      <c r="A1488" s="19"/>
      <c r="B1488" s="56" t="s">
        <v>1535</v>
      </c>
      <c r="C1488" s="65">
        <v>2.5000000000000001E-3</v>
      </c>
      <c r="D1488" s="57" t="s">
        <v>20</v>
      </c>
      <c r="E1488" s="61">
        <f>'Analisis Auxiliares'!$G$55</f>
        <v>8214.5499999999993</v>
      </c>
      <c r="F1488" s="61"/>
      <c r="G1488" s="17">
        <f>+C1488*E1488+C1488*F1488</f>
        <v>20.536375</v>
      </c>
      <c r="H1488" s="12"/>
      <c r="O1488">
        <f>SUM(O1486:O1487)</f>
        <v>0.65215124600000007</v>
      </c>
      <c r="P1488">
        <f>+O1488*1.05</f>
        <v>0.68475880830000013</v>
      </c>
      <c r="Q1488">
        <f>+P1488/J1485</f>
        <v>0.67932421458333347</v>
      </c>
    </row>
    <row r="1489" spans="1:17">
      <c r="A1489" s="19"/>
      <c r="B1489" s="56" t="s">
        <v>1536</v>
      </c>
      <c r="C1489" s="62">
        <v>0.33329999999999999</v>
      </c>
      <c r="D1489" s="57" t="s">
        <v>190</v>
      </c>
      <c r="E1489" s="61">
        <f>Materiales!$D$64</f>
        <v>101.69491525423729</v>
      </c>
      <c r="F1489" s="61">
        <f>+E1489*0.18</f>
        <v>18.305084745762709</v>
      </c>
      <c r="G1489" s="17">
        <f>+C1489*E1489+C1489*F1489</f>
        <v>39.995999999999995</v>
      </c>
      <c r="H1489" s="18"/>
    </row>
    <row r="1490" spans="1:17">
      <c r="A1490" s="19"/>
      <c r="B1490" s="56" t="s">
        <v>1537</v>
      </c>
      <c r="C1490" s="62">
        <v>1</v>
      </c>
      <c r="D1490" s="57" t="s">
        <v>14</v>
      </c>
      <c r="E1490" s="61">
        <v>68.430000000000007</v>
      </c>
      <c r="F1490" s="61">
        <v>0</v>
      </c>
      <c r="G1490" s="17">
        <f>+C1490*E1490+C1490*F1490</f>
        <v>68.430000000000007</v>
      </c>
      <c r="H1490" s="12"/>
    </row>
    <row r="1491" spans="1:17" ht="15.75" thickBot="1">
      <c r="A1491" s="21"/>
      <c r="B1491" s="22"/>
      <c r="C1491" s="23"/>
      <c r="D1491" s="24" t="s">
        <v>111</v>
      </c>
      <c r="E1491" s="78"/>
      <c r="F1491" s="79"/>
      <c r="G1491" s="26">
        <f>SUM(G1488:G1490)</f>
        <v>128.96237500000001</v>
      </c>
      <c r="H1491" s="27" t="s">
        <v>43</v>
      </c>
    </row>
    <row r="1492" spans="1:17" ht="15.75" thickTop="1">
      <c r="B1492" s="55"/>
    </row>
    <row r="1493" spans="1:17">
      <c r="A1493" s="64"/>
      <c r="B1493" s="370" t="e">
        <f>#REF!</f>
        <v>#REF!</v>
      </c>
      <c r="C1493" s="370"/>
      <c r="D1493" s="370"/>
      <c r="E1493" s="370"/>
      <c r="F1493" s="370"/>
      <c r="G1493" s="370"/>
      <c r="H1493" s="370"/>
      <c r="J1493">
        <v>1.008</v>
      </c>
    </row>
    <row r="1494" spans="1:17">
      <c r="A1494" s="6"/>
      <c r="B1494" s="7"/>
      <c r="C1494" s="8" t="s">
        <v>98</v>
      </c>
      <c r="D1494" s="9" t="s">
        <v>39</v>
      </c>
      <c r="E1494" s="74" t="s">
        <v>99</v>
      </c>
      <c r="F1494" s="75" t="s">
        <v>100</v>
      </c>
      <c r="G1494" s="11" t="s">
        <v>101</v>
      </c>
      <c r="H1494" s="12"/>
      <c r="J1494">
        <f>1.6/0.15</f>
        <v>10.666666666666668</v>
      </c>
      <c r="K1494">
        <v>11</v>
      </c>
      <c r="L1494">
        <v>1.4</v>
      </c>
      <c r="M1494">
        <v>3.2810000000000001</v>
      </c>
      <c r="N1494">
        <v>0.66700000000000004</v>
      </c>
      <c r="O1494">
        <f>+K1494*L1494*M1494*N1494/100</f>
        <v>0.337017758</v>
      </c>
    </row>
    <row r="1495" spans="1:17">
      <c r="A1495" s="19"/>
      <c r="B1495" s="56" t="s">
        <v>1538</v>
      </c>
      <c r="C1495" s="62">
        <v>0.08</v>
      </c>
      <c r="D1495" s="57" t="s">
        <v>153</v>
      </c>
      <c r="E1495" s="61">
        <f>500/1.18</f>
        <v>423.72881355932208</v>
      </c>
      <c r="F1495" s="61">
        <f>+E1495*0.18</f>
        <v>76.271186440677965</v>
      </c>
      <c r="G1495" s="17">
        <f t="shared" ref="G1495:G1496" si="154">+C1495*E1495+C1495*F1495</f>
        <v>40</v>
      </c>
      <c r="H1495" s="12"/>
      <c r="O1495">
        <f>SUM(O1494:O1494)</f>
        <v>0.337017758</v>
      </c>
      <c r="P1495">
        <f>+O1495*1.05</f>
        <v>0.3538686459</v>
      </c>
      <c r="Q1495">
        <f>+P1495/J1493</f>
        <v>0.35106016458333333</v>
      </c>
    </row>
    <row r="1496" spans="1:17">
      <c r="A1496" s="19"/>
      <c r="B1496" s="56" t="s">
        <v>1539</v>
      </c>
      <c r="C1496" s="62">
        <v>1</v>
      </c>
      <c r="D1496" s="57" t="s">
        <v>9</v>
      </c>
      <c r="E1496" s="61">
        <v>35</v>
      </c>
      <c r="F1496" s="61"/>
      <c r="G1496" s="17">
        <f t="shared" si="154"/>
        <v>35</v>
      </c>
      <c r="H1496" s="18"/>
    </row>
    <row r="1497" spans="1:17" ht="15.75" thickBot="1">
      <c r="A1497" s="21"/>
      <c r="B1497" s="22"/>
      <c r="C1497" s="23"/>
      <c r="D1497" s="24" t="s">
        <v>111</v>
      </c>
      <c r="E1497" s="78"/>
      <c r="F1497" s="79"/>
      <c r="G1497" s="26">
        <f>SUM(G1495:G1496)</f>
        <v>75</v>
      </c>
      <c r="H1497" s="27" t="s">
        <v>21</v>
      </c>
    </row>
    <row r="1498" spans="1:17" ht="15.75" thickTop="1">
      <c r="B1498" s="55"/>
    </row>
    <row r="1499" spans="1:17">
      <c r="A1499" s="64"/>
      <c r="B1499" s="370" t="e">
        <f>#REF!</f>
        <v>#REF!</v>
      </c>
      <c r="C1499" s="370"/>
      <c r="D1499" s="370"/>
      <c r="E1499" s="370"/>
      <c r="F1499" s="370"/>
      <c r="G1499" s="370"/>
      <c r="H1499" s="370"/>
      <c r="J1499">
        <v>1.008</v>
      </c>
    </row>
    <row r="1500" spans="1:17">
      <c r="A1500" s="6"/>
      <c r="B1500" s="7"/>
      <c r="C1500" s="8" t="s">
        <v>98</v>
      </c>
      <c r="D1500" s="9" t="s">
        <v>39</v>
      </c>
      <c r="E1500" s="74" t="s">
        <v>99</v>
      </c>
      <c r="F1500" s="75" t="s">
        <v>100</v>
      </c>
      <c r="G1500" s="11" t="s">
        <v>101</v>
      </c>
      <c r="H1500" s="12"/>
      <c r="J1500">
        <f>1.6/0.15</f>
        <v>10.666666666666668</v>
      </c>
      <c r="K1500">
        <v>11</v>
      </c>
      <c r="L1500">
        <v>1.4</v>
      </c>
      <c r="M1500">
        <v>3.2810000000000001</v>
      </c>
      <c r="N1500">
        <v>0.66700000000000004</v>
      </c>
      <c r="O1500">
        <f>+K1500*L1500*M1500*N1500/100</f>
        <v>0.337017758</v>
      </c>
    </row>
    <row r="1501" spans="1:17">
      <c r="A1501" s="19"/>
      <c r="B1501" s="56" t="s">
        <v>1538</v>
      </c>
      <c r="C1501" s="62">
        <v>0.08</v>
      </c>
      <c r="D1501" s="57" t="s">
        <v>153</v>
      </c>
      <c r="E1501" s="61">
        <f>950/1.18</f>
        <v>805.08474576271192</v>
      </c>
      <c r="F1501" s="61">
        <f>+E1501*0.18</f>
        <v>144.91525423728814</v>
      </c>
      <c r="G1501" s="17">
        <f t="shared" ref="G1501:G1503" si="155">+C1501*E1501+C1501*F1501</f>
        <v>76</v>
      </c>
      <c r="H1501" s="12"/>
      <c r="O1501">
        <f>SUM(O1500:O1500)</f>
        <v>0.337017758</v>
      </c>
      <c r="P1501">
        <f>+O1501*1.05</f>
        <v>0.3538686459</v>
      </c>
      <c r="Q1501">
        <f>+P1501/J1499</f>
        <v>0.35106016458333333</v>
      </c>
    </row>
    <row r="1502" spans="1:17">
      <c r="A1502" s="19"/>
      <c r="B1502" s="56" t="s">
        <v>1539</v>
      </c>
      <c r="C1502" s="62">
        <v>1</v>
      </c>
      <c r="D1502" s="57" t="s">
        <v>9</v>
      </c>
      <c r="E1502" s="61">
        <v>54.26</v>
      </c>
      <c r="F1502" s="61"/>
      <c r="G1502" s="17">
        <f t="shared" si="155"/>
        <v>54.26</v>
      </c>
      <c r="H1502" s="18"/>
    </row>
    <row r="1503" spans="1:17">
      <c r="A1503" s="19"/>
      <c r="B1503" s="56" t="s">
        <v>1540</v>
      </c>
      <c r="C1503" s="62">
        <v>0.2</v>
      </c>
      <c r="D1503" s="57" t="s">
        <v>47</v>
      </c>
      <c r="E1503" s="61">
        <f>SUM(G1501:G1502)</f>
        <v>130.26</v>
      </c>
      <c r="F1503" s="61"/>
      <c r="G1503" s="17">
        <f t="shared" si="155"/>
        <v>26.052</v>
      </c>
      <c r="H1503" s="18"/>
    </row>
    <row r="1504" spans="1:17" ht="15.75" thickBot="1">
      <c r="A1504" s="21"/>
      <c r="B1504" s="22"/>
      <c r="C1504" s="23"/>
      <c r="D1504" s="24" t="s">
        <v>111</v>
      </c>
      <c r="E1504" s="78"/>
      <c r="F1504" s="79"/>
      <c r="G1504" s="26">
        <f>SUM(G1501:G1503)</f>
        <v>156.31199999999998</v>
      </c>
      <c r="H1504" s="27" t="s">
        <v>21</v>
      </c>
    </row>
    <row r="1505" spans="1:17" ht="15.75" thickTop="1"/>
    <row r="1506" spans="1:17">
      <c r="A1506" s="64"/>
      <c r="B1506" s="370" t="e">
        <f>#REF!</f>
        <v>#REF!</v>
      </c>
      <c r="C1506" s="370"/>
      <c r="D1506" s="370"/>
      <c r="E1506" s="370"/>
      <c r="F1506" s="370"/>
      <c r="G1506" s="370"/>
      <c r="H1506" s="370"/>
      <c r="J1506">
        <v>3.7499999999999999E-2</v>
      </c>
      <c r="K1506">
        <v>26.666666666666668</v>
      </c>
    </row>
    <row r="1507" spans="1:17">
      <c r="A1507" s="6"/>
      <c r="B1507" s="7"/>
      <c r="C1507" s="8" t="s">
        <v>98</v>
      </c>
      <c r="D1507" s="9" t="s">
        <v>39</v>
      </c>
      <c r="E1507" s="74" t="s">
        <v>99</v>
      </c>
      <c r="F1507" s="75" t="s">
        <v>100</v>
      </c>
      <c r="G1507" s="11" t="s">
        <v>101</v>
      </c>
      <c r="H1507" s="12"/>
      <c r="J1507">
        <f>1.6/0.15</f>
        <v>10.666666666666668</v>
      </c>
      <c r="K1507">
        <v>26.666699999999999</v>
      </c>
      <c r="L1507">
        <v>4</v>
      </c>
      <c r="M1507">
        <v>3.2810000000000001</v>
      </c>
      <c r="N1507">
        <v>0.378</v>
      </c>
      <c r="O1507">
        <f>+K1507*L1507*M1507*N1507/100</f>
        <v>1.3229008536239999</v>
      </c>
    </row>
    <row r="1508" spans="1:17">
      <c r="A1508" s="19"/>
      <c r="B1508" s="60" t="s">
        <v>1696</v>
      </c>
      <c r="C1508" s="62">
        <v>1</v>
      </c>
      <c r="D1508" s="57" t="s">
        <v>20</v>
      </c>
      <c r="E1508" s="61">
        <v>900</v>
      </c>
      <c r="F1508" s="61"/>
      <c r="G1508" s="17">
        <f>+C1508*E1508+C1508*F1508</f>
        <v>900</v>
      </c>
      <c r="H1508" s="12"/>
      <c r="J1508">
        <f>+K1507/0.25</f>
        <v>106.66679999999999</v>
      </c>
      <c r="K1508">
        <v>107</v>
      </c>
      <c r="L1508">
        <f>0.15*2+0.25*2</f>
        <v>0.8</v>
      </c>
      <c r="M1508">
        <v>3.2810000000000001</v>
      </c>
      <c r="N1508">
        <v>0.378</v>
      </c>
      <c r="O1508">
        <f>+K1508*L1508*M1508*N1508/100</f>
        <v>1.0616266080000001</v>
      </c>
      <c r="P1508">
        <f>+O1508*1.05</f>
        <v>1.1147079384</v>
      </c>
      <c r="Q1508">
        <f>+P1508/J1506</f>
        <v>29.725545024000002</v>
      </c>
    </row>
    <row r="1509" spans="1:17">
      <c r="A1509" s="19"/>
      <c r="B1509" s="60" t="s">
        <v>1644</v>
      </c>
      <c r="C1509" s="62">
        <v>1</v>
      </c>
      <c r="D1509" s="57" t="s">
        <v>20</v>
      </c>
      <c r="E1509" s="61">
        <v>300</v>
      </c>
      <c r="F1509" s="61"/>
      <c r="G1509" s="17">
        <f>+C1509*E1509+C1509*F1509</f>
        <v>300</v>
      </c>
      <c r="H1509" s="12"/>
    </row>
    <row r="1510" spans="1:17" ht="15.75" thickBot="1">
      <c r="A1510" s="21"/>
      <c r="B1510" s="22"/>
      <c r="C1510" s="23"/>
      <c r="D1510" s="24" t="s">
        <v>111</v>
      </c>
      <c r="E1510" s="78"/>
      <c r="F1510" s="79"/>
      <c r="G1510" s="26">
        <f>SUM(G1508:G1509)</f>
        <v>1200</v>
      </c>
      <c r="H1510" s="27" t="s">
        <v>106</v>
      </c>
    </row>
    <row r="1511" spans="1:17" ht="15.75" thickTop="1"/>
    <row r="1512" spans="1:17">
      <c r="A1512" s="64"/>
      <c r="B1512" s="370" t="e">
        <f>#REF!</f>
        <v>#REF!</v>
      </c>
      <c r="C1512" s="370"/>
      <c r="D1512" s="370"/>
      <c r="E1512" s="370"/>
      <c r="F1512" s="370"/>
      <c r="G1512" s="370"/>
      <c r="H1512" s="370"/>
      <c r="J1512">
        <v>3.7499999999999999E-2</v>
      </c>
      <c r="K1512">
        <v>26.666666666666668</v>
      </c>
    </row>
    <row r="1513" spans="1:17">
      <c r="A1513" s="6"/>
      <c r="B1513" s="7"/>
      <c r="C1513" s="8" t="s">
        <v>98</v>
      </c>
      <c r="D1513" s="9" t="s">
        <v>39</v>
      </c>
      <c r="E1513" s="74" t="s">
        <v>99</v>
      </c>
      <c r="F1513" s="75" t="s">
        <v>100</v>
      </c>
      <c r="G1513" s="11" t="s">
        <v>101</v>
      </c>
      <c r="H1513" s="12"/>
      <c r="J1513">
        <f>1.6/0.15</f>
        <v>10.666666666666668</v>
      </c>
      <c r="K1513">
        <v>26.666699999999999</v>
      </c>
      <c r="L1513">
        <v>4</v>
      </c>
      <c r="M1513">
        <v>3.2810000000000001</v>
      </c>
      <c r="N1513">
        <v>0.378</v>
      </c>
      <c r="O1513">
        <f>+K1513*L1513*M1513*N1513/100</f>
        <v>1.3229008536239999</v>
      </c>
    </row>
    <row r="1514" spans="1:17">
      <c r="A1514" s="19"/>
      <c r="B1514" s="60" t="e">
        <f>+B1512</f>
        <v>#REF!</v>
      </c>
      <c r="C1514" s="62">
        <v>1</v>
      </c>
      <c r="D1514" s="57" t="s">
        <v>21</v>
      </c>
      <c r="E1514" s="61">
        <f>155/1.18</f>
        <v>131.35593220338984</v>
      </c>
      <c r="F1514" s="61">
        <f>+E1514*0.18</f>
        <v>23.64406779661017</v>
      </c>
      <c r="G1514" s="17">
        <f>+C1514*E1514+C1514*F1514</f>
        <v>155</v>
      </c>
      <c r="H1514" s="12"/>
      <c r="J1514">
        <f>+K1513/0.25</f>
        <v>106.66679999999999</v>
      </c>
      <c r="K1514">
        <v>107</v>
      </c>
      <c r="L1514">
        <f>0.15*2+0.25*2</f>
        <v>0.8</v>
      </c>
      <c r="M1514">
        <v>3.2810000000000001</v>
      </c>
      <c r="N1514">
        <v>0.378</v>
      </c>
      <c r="O1514">
        <f>+K1514*L1514*M1514*N1514/100</f>
        <v>1.0616266080000001</v>
      </c>
      <c r="P1514">
        <f>+O1514*1.05</f>
        <v>1.1147079384</v>
      </c>
      <c r="Q1514">
        <f>+P1514/J1512</f>
        <v>29.725545024000002</v>
      </c>
    </row>
    <row r="1515" spans="1:17" ht="15.75" thickBot="1">
      <c r="A1515" s="21"/>
      <c r="B1515" s="22"/>
      <c r="C1515" s="23"/>
      <c r="D1515" s="24" t="s">
        <v>111</v>
      </c>
      <c r="E1515" s="78"/>
      <c r="F1515" s="79"/>
      <c r="G1515" s="26">
        <f>SUM(G1514:G1514)</f>
        <v>155</v>
      </c>
      <c r="H1515" s="27" t="s">
        <v>21</v>
      </c>
    </row>
    <row r="1516" spans="1:17" ht="15.75" thickTop="1">
      <c r="B1516" s="55"/>
      <c r="K1516">
        <f>1.2*3.281</f>
        <v>3.9371999999999998</v>
      </c>
    </row>
    <row r="1517" spans="1:17">
      <c r="A1517" s="53"/>
      <c r="B1517" s="53" t="e">
        <f>#REF!</f>
        <v>#REF!</v>
      </c>
      <c r="C1517" s="54"/>
      <c r="D1517" s="54"/>
      <c r="E1517" s="72"/>
      <c r="F1517" s="72"/>
      <c r="G1517" s="54"/>
      <c r="H1517" s="54"/>
    </row>
    <row r="1518" spans="1:17" ht="12.75" customHeight="1">
      <c r="C1518" s="68"/>
    </row>
    <row r="1519" spans="1:17" ht="12.75" customHeight="1">
      <c r="A1519" s="4"/>
      <c r="B1519" s="370" t="e">
        <f>#REF!</f>
        <v>#REF!</v>
      </c>
      <c r="C1519" s="370"/>
      <c r="D1519" s="370"/>
      <c r="E1519" s="370"/>
      <c r="F1519" s="370"/>
      <c r="G1519" s="370"/>
      <c r="H1519" s="370"/>
    </row>
    <row r="1520" spans="1:17" ht="12.75" customHeight="1">
      <c r="A1520" s="6"/>
      <c r="B1520" s="7"/>
      <c r="C1520" s="69" t="s">
        <v>98</v>
      </c>
      <c r="D1520" s="9" t="s">
        <v>39</v>
      </c>
      <c r="E1520" s="74" t="s">
        <v>99</v>
      </c>
      <c r="F1520" s="75" t="s">
        <v>100</v>
      </c>
      <c r="G1520" s="11" t="s">
        <v>101</v>
      </c>
      <c r="H1520" s="12"/>
    </row>
    <row r="1521" spans="1:17" ht="12.75" customHeight="1">
      <c r="A1521" s="13"/>
      <c r="B1521" s="56" t="s">
        <v>1637</v>
      </c>
      <c r="C1521" s="70">
        <v>40</v>
      </c>
      <c r="D1521" s="57" t="s">
        <v>1638</v>
      </c>
      <c r="E1521" s="76">
        <v>358.33</v>
      </c>
      <c r="F1521" s="76"/>
      <c r="G1521" s="17">
        <f>+C1521*E1521+C1521*F1521</f>
        <v>14333.199999999999</v>
      </c>
      <c r="H1521" s="18"/>
    </row>
    <row r="1522" spans="1:17" ht="12.75" customHeight="1">
      <c r="A1522" s="13"/>
      <c r="B1522" s="56" t="s">
        <v>1639</v>
      </c>
      <c r="C1522" s="70">
        <v>160</v>
      </c>
      <c r="D1522" s="57" t="s">
        <v>1638</v>
      </c>
      <c r="E1522" s="76">
        <v>123.44</v>
      </c>
      <c r="F1522" s="76"/>
      <c r="G1522" s="17">
        <f>+C1522*E1522+C1522*F1522</f>
        <v>19750.400000000001</v>
      </c>
      <c r="H1522" s="18"/>
    </row>
    <row r="1523" spans="1:17" ht="12.75" customHeight="1">
      <c r="A1523" s="13"/>
      <c r="B1523" s="56" t="s">
        <v>1835</v>
      </c>
      <c r="C1523" s="70">
        <v>0.1</v>
      </c>
      <c r="D1523" s="57" t="s">
        <v>47</v>
      </c>
      <c r="E1523" s="76">
        <f>SUM(G1521:G1522)</f>
        <v>34083.599999999999</v>
      </c>
      <c r="F1523" s="76"/>
      <c r="G1523" s="17">
        <f>+C1523*E1523+C1523*F1523</f>
        <v>3408.36</v>
      </c>
      <c r="H1523" s="18"/>
    </row>
    <row r="1524" spans="1:17" ht="15.75" thickBot="1">
      <c r="A1524" s="21"/>
      <c r="B1524" s="22"/>
      <c r="C1524" s="71"/>
      <c r="D1524" s="24" t="s">
        <v>111</v>
      </c>
      <c r="E1524" s="78"/>
      <c r="F1524" s="79"/>
      <c r="G1524" s="26">
        <f>SUM(G1521:G1523)</f>
        <v>37491.96</v>
      </c>
      <c r="H1524" s="27" t="s">
        <v>12</v>
      </c>
    </row>
    <row r="1525" spans="1:17" ht="15.75" thickTop="1">
      <c r="B1525" s="55"/>
      <c r="K1525">
        <f>1.2*3.281</f>
        <v>3.9371999999999998</v>
      </c>
    </row>
    <row r="1526" spans="1:17">
      <c r="A1526" s="53"/>
      <c r="B1526" s="53" t="e">
        <f>#REF!</f>
        <v>#REF!</v>
      </c>
      <c r="C1526" s="54"/>
      <c r="D1526" s="54"/>
      <c r="E1526" s="72"/>
      <c r="F1526" s="72"/>
      <c r="G1526" s="54"/>
      <c r="H1526" s="54"/>
    </row>
    <row r="1527" spans="1:17">
      <c r="B1527" s="55"/>
    </row>
    <row r="1528" spans="1:17">
      <c r="A1528" s="64"/>
      <c r="B1528" s="370" t="e">
        <f>#REF!</f>
        <v>#REF!</v>
      </c>
      <c r="C1528" s="370"/>
      <c r="D1528" s="370"/>
      <c r="E1528" s="370"/>
      <c r="F1528" s="370"/>
      <c r="G1528" s="370"/>
      <c r="H1528" s="370"/>
      <c r="J1528">
        <v>3.7499999999999999E-2</v>
      </c>
      <c r="K1528">
        <v>26.666666666666668</v>
      </c>
    </row>
    <row r="1529" spans="1:17">
      <c r="A1529" s="6"/>
      <c r="B1529" s="7"/>
      <c r="C1529" s="8" t="s">
        <v>98</v>
      </c>
      <c r="D1529" s="9" t="s">
        <v>39</v>
      </c>
      <c r="E1529" s="74" t="s">
        <v>99</v>
      </c>
      <c r="F1529" s="75" t="s">
        <v>100</v>
      </c>
      <c r="G1529" s="11" t="s">
        <v>101</v>
      </c>
      <c r="H1529" s="12"/>
      <c r="J1529">
        <f>1.6/0.15</f>
        <v>10.666666666666668</v>
      </c>
      <c r="K1529">
        <v>26.666699999999999</v>
      </c>
      <c r="L1529">
        <v>4</v>
      </c>
      <c r="M1529">
        <v>3.2810000000000001</v>
      </c>
      <c r="N1529">
        <v>0.378</v>
      </c>
      <c r="O1529">
        <f>+K1529*L1529*M1529*N1529/100</f>
        <v>1.3229008536239999</v>
      </c>
    </row>
    <row r="1530" spans="1:17">
      <c r="A1530" s="19"/>
      <c r="B1530" s="60" t="e">
        <f>+B1528</f>
        <v>#REF!</v>
      </c>
      <c r="C1530" s="62">
        <v>30.52</v>
      </c>
      <c r="D1530" s="57" t="s">
        <v>43</v>
      </c>
      <c r="E1530" s="61">
        <v>56</v>
      </c>
      <c r="F1530" s="61"/>
      <c r="G1530" s="17">
        <f>+C1530*E1530+C1530*F1530</f>
        <v>1709.12</v>
      </c>
      <c r="H1530" s="12"/>
      <c r="J1530">
        <f>+K1529/0.25</f>
        <v>106.66679999999999</v>
      </c>
      <c r="K1530">
        <v>107</v>
      </c>
      <c r="L1530">
        <f>0.15*2+0.25*2</f>
        <v>0.8</v>
      </c>
      <c r="M1530">
        <v>3.2810000000000001</v>
      </c>
      <c r="N1530">
        <v>0.378</v>
      </c>
      <c r="O1530">
        <f>+K1530*L1530*M1530*N1530/100</f>
        <v>1.0616266080000001</v>
      </c>
      <c r="P1530">
        <f>+O1530*1.05</f>
        <v>1.1147079384</v>
      </c>
      <c r="Q1530">
        <f>+P1530/J1528</f>
        <v>29.725545024000002</v>
      </c>
    </row>
    <row r="1531" spans="1:17" ht="15.75" thickBot="1">
      <c r="A1531" s="21"/>
      <c r="B1531" s="22"/>
      <c r="C1531" s="23"/>
      <c r="D1531" s="24" t="s">
        <v>111</v>
      </c>
      <c r="E1531" s="78"/>
      <c r="F1531" s="79"/>
      <c r="G1531" s="26">
        <f>SUM(G1530:G1530)</f>
        <v>1709.12</v>
      </c>
      <c r="H1531" s="27" t="str">
        <f>+D1530</f>
        <v>ml</v>
      </c>
    </row>
    <row r="1532" spans="1:17" ht="12.75" customHeight="1" thickTop="1">
      <c r="C1532" s="68"/>
    </row>
    <row r="1533" spans="1:17" ht="12.75" customHeight="1">
      <c r="A1533" s="4"/>
      <c r="B1533" s="370" t="e">
        <f>#REF!</f>
        <v>#REF!</v>
      </c>
      <c r="C1533" s="370"/>
      <c r="D1533" s="370"/>
      <c r="E1533" s="370"/>
      <c r="F1533" s="370"/>
      <c r="G1533" s="370"/>
      <c r="H1533" s="370"/>
    </row>
    <row r="1534" spans="1:17" ht="12.75" customHeight="1">
      <c r="A1534" s="6"/>
      <c r="B1534" s="7"/>
      <c r="C1534" s="69" t="s">
        <v>98</v>
      </c>
      <c r="D1534" s="9" t="s">
        <v>39</v>
      </c>
      <c r="E1534" s="74" t="s">
        <v>99</v>
      </c>
      <c r="F1534" s="75" t="s">
        <v>100</v>
      </c>
      <c r="G1534" s="11" t="s">
        <v>101</v>
      </c>
      <c r="H1534" s="12"/>
    </row>
    <row r="1535" spans="1:17" ht="12.75" customHeight="1">
      <c r="A1535" s="13"/>
      <c r="B1535" s="56" t="s">
        <v>1637</v>
      </c>
      <c r="C1535" s="70">
        <v>0.35</v>
      </c>
      <c r="D1535" s="57" t="s">
        <v>1638</v>
      </c>
      <c r="E1535" s="76">
        <v>358.33</v>
      </c>
      <c r="F1535" s="76"/>
      <c r="G1535" s="17">
        <f>+C1535*E1535+C1535*F1535</f>
        <v>125.41549999999998</v>
      </c>
      <c r="H1535" s="18"/>
    </row>
    <row r="1536" spans="1:17" ht="12.75" customHeight="1">
      <c r="A1536" s="13"/>
      <c r="B1536" s="56" t="s">
        <v>1639</v>
      </c>
      <c r="C1536" s="70">
        <f>0.35*4</f>
        <v>1.4</v>
      </c>
      <c r="D1536" s="57" t="s">
        <v>1638</v>
      </c>
      <c r="E1536" s="76">
        <v>123.44</v>
      </c>
      <c r="F1536" s="76"/>
      <c r="G1536" s="17">
        <f>+C1536*E1536+C1536*F1536</f>
        <v>172.81599999999997</v>
      </c>
      <c r="H1536" s="18"/>
    </row>
    <row r="1537" spans="1:8" ht="12.75" customHeight="1">
      <c r="A1537" s="13"/>
      <c r="B1537" s="56" t="s">
        <v>1640</v>
      </c>
      <c r="C1537" s="70">
        <v>0.02</v>
      </c>
      <c r="D1537" s="57" t="s">
        <v>47</v>
      </c>
      <c r="E1537" s="76">
        <f>SUM(G1535:G1536)</f>
        <v>298.23149999999998</v>
      </c>
      <c r="F1537" s="76"/>
      <c r="G1537" s="17">
        <f>+C1537*E1537+C1537*F1537</f>
        <v>5.9646299999999997</v>
      </c>
      <c r="H1537" s="18"/>
    </row>
    <row r="1538" spans="1:8" ht="15.75" thickBot="1">
      <c r="A1538" s="21"/>
      <c r="B1538" s="22"/>
      <c r="C1538" s="71"/>
      <c r="D1538" s="24" t="s">
        <v>111</v>
      </c>
      <c r="E1538" s="78"/>
      <c r="F1538" s="79"/>
      <c r="G1538" s="26">
        <f>SUM(G1535:G1537)</f>
        <v>304.19612999999998</v>
      </c>
      <c r="H1538" s="27" t="s">
        <v>20</v>
      </c>
    </row>
    <row r="1539" spans="1:8" ht="12.75" customHeight="1" thickTop="1">
      <c r="C1539" s="68"/>
    </row>
    <row r="1540" spans="1:8" ht="12.75" customHeight="1">
      <c r="A1540" s="4"/>
      <c r="B1540" s="370" t="e">
        <f>#REF!</f>
        <v>#REF!</v>
      </c>
      <c r="C1540" s="370"/>
      <c r="D1540" s="370"/>
      <c r="E1540" s="370"/>
      <c r="F1540" s="370"/>
      <c r="G1540" s="370"/>
      <c r="H1540" s="370"/>
    </row>
    <row r="1541" spans="1:8" ht="12.75" customHeight="1">
      <c r="A1541" s="6"/>
      <c r="B1541" s="7"/>
      <c r="C1541" s="69" t="s">
        <v>98</v>
      </c>
      <c r="D1541" s="9" t="s">
        <v>39</v>
      </c>
      <c r="E1541" s="74" t="s">
        <v>99</v>
      </c>
      <c r="F1541" s="75" t="s">
        <v>100</v>
      </c>
      <c r="G1541" s="11" t="s">
        <v>101</v>
      </c>
      <c r="H1541" s="12"/>
    </row>
    <row r="1542" spans="1:8" ht="12.75" customHeight="1">
      <c r="A1542" s="13"/>
      <c r="B1542" s="56" t="s">
        <v>1637</v>
      </c>
      <c r="C1542" s="70">
        <v>0.35</v>
      </c>
      <c r="D1542" s="57" t="s">
        <v>1638</v>
      </c>
      <c r="E1542" s="76">
        <v>358.33</v>
      </c>
      <c r="F1542" s="76"/>
      <c r="G1542" s="17">
        <f>+C1542*E1542+C1542*F1542</f>
        <v>125.41549999999998</v>
      </c>
      <c r="H1542" s="18"/>
    </row>
    <row r="1543" spans="1:8" ht="12.75" customHeight="1">
      <c r="A1543" s="13"/>
      <c r="B1543" s="56" t="s">
        <v>1639</v>
      </c>
      <c r="C1543" s="70">
        <f>0.35*4</f>
        <v>1.4</v>
      </c>
      <c r="D1543" s="57" t="s">
        <v>1638</v>
      </c>
      <c r="E1543" s="76">
        <v>123.44</v>
      </c>
      <c r="F1543" s="76"/>
      <c r="G1543" s="17">
        <f>+C1543*E1543+C1543*F1543</f>
        <v>172.81599999999997</v>
      </c>
      <c r="H1543" s="18"/>
    </row>
    <row r="1544" spans="1:8" ht="12.75" customHeight="1">
      <c r="A1544" s="13"/>
      <c r="B1544" s="56" t="s">
        <v>1640</v>
      </c>
      <c r="C1544" s="70">
        <v>0.02</v>
      </c>
      <c r="D1544" s="57" t="s">
        <v>47</v>
      </c>
      <c r="E1544" s="76">
        <f>SUM(G1542:G1543)</f>
        <v>298.23149999999998</v>
      </c>
      <c r="F1544" s="76"/>
      <c r="G1544" s="17">
        <f>+C1544*E1544+C1544*F1544</f>
        <v>5.9646299999999997</v>
      </c>
      <c r="H1544" s="18"/>
    </row>
    <row r="1545" spans="1:8" ht="15.75" thickBot="1">
      <c r="A1545" s="21"/>
      <c r="B1545" s="22"/>
      <c r="C1545" s="71"/>
      <c r="D1545" s="24" t="s">
        <v>111</v>
      </c>
      <c r="E1545" s="78"/>
      <c r="F1545" s="79"/>
      <c r="G1545" s="26">
        <f>SUM(G1542:G1544)</f>
        <v>304.19612999999998</v>
      </c>
      <c r="H1545" s="27" t="s">
        <v>20</v>
      </c>
    </row>
    <row r="1546" spans="1:8" ht="12.75" customHeight="1" thickTop="1">
      <c r="C1546" s="68"/>
    </row>
    <row r="1547" spans="1:8" ht="12.75" customHeight="1" thickTop="1">
      <c r="A1547" s="4"/>
      <c r="B1547" s="370" t="e">
        <f>#REF!</f>
        <v>#REF!</v>
      </c>
      <c r="C1547" s="370"/>
      <c r="D1547" s="370"/>
      <c r="E1547" s="370"/>
      <c r="F1547" s="370"/>
      <c r="G1547" s="370"/>
      <c r="H1547" s="370"/>
    </row>
    <row r="1548" spans="1:8" ht="12.75" customHeight="1">
      <c r="A1548" s="6"/>
      <c r="B1548" s="7"/>
      <c r="C1548" s="69" t="s">
        <v>98</v>
      </c>
      <c r="D1548" s="9" t="s">
        <v>39</v>
      </c>
      <c r="E1548" s="74" t="s">
        <v>99</v>
      </c>
      <c r="F1548" s="75" t="s">
        <v>100</v>
      </c>
      <c r="G1548" s="11" t="s">
        <v>101</v>
      </c>
      <c r="H1548" s="12"/>
    </row>
    <row r="1549" spans="1:8" ht="12.75" customHeight="1">
      <c r="A1549" s="13"/>
      <c r="B1549" s="56" t="s">
        <v>1637</v>
      </c>
      <c r="C1549" s="70">
        <v>0.15</v>
      </c>
      <c r="D1549" s="57" t="s">
        <v>1638</v>
      </c>
      <c r="E1549" s="76">
        <v>358.33</v>
      </c>
      <c r="F1549" s="76"/>
      <c r="G1549" s="17">
        <f>+C1549*E1549+C1549*F1549</f>
        <v>53.749499999999998</v>
      </c>
      <c r="H1549" s="18"/>
    </row>
    <row r="1550" spans="1:8" ht="12.75" customHeight="1">
      <c r="A1550" s="13"/>
      <c r="B1550" s="56" t="s">
        <v>1641</v>
      </c>
      <c r="C1550" s="70">
        <v>0.3</v>
      </c>
      <c r="D1550" s="57" t="s">
        <v>1638</v>
      </c>
      <c r="E1550" s="76">
        <v>123.44</v>
      </c>
      <c r="F1550" s="76"/>
      <c r="G1550" s="17">
        <f>+C1550*E1550+C1550*F1550</f>
        <v>37.031999999999996</v>
      </c>
      <c r="H1550" s="18"/>
    </row>
    <row r="1551" spans="1:8" ht="12.75" customHeight="1">
      <c r="A1551" s="13"/>
      <c r="B1551" s="56" t="s">
        <v>1642</v>
      </c>
      <c r="C1551" s="70">
        <v>0.05</v>
      </c>
      <c r="D1551" s="57" t="s">
        <v>47</v>
      </c>
      <c r="E1551" s="76">
        <f>SUM(G1549:G1550)</f>
        <v>90.781499999999994</v>
      </c>
      <c r="F1551" s="76"/>
      <c r="G1551" s="17">
        <f>+C1551*E1551+C1551*F1551</f>
        <v>4.5390749999999995</v>
      </c>
      <c r="H1551" s="18"/>
    </row>
    <row r="1552" spans="1:8" ht="15.75" thickBot="1">
      <c r="A1552" s="21"/>
      <c r="B1552" s="22"/>
      <c r="C1552" s="71"/>
      <c r="D1552" s="24" t="s">
        <v>111</v>
      </c>
      <c r="E1552" s="78"/>
      <c r="F1552" s="79"/>
      <c r="G1552" s="26">
        <f>SUM(G1549:G1551)</f>
        <v>95.320574999999991</v>
      </c>
      <c r="H1552" s="27" t="s">
        <v>20</v>
      </c>
    </row>
    <row r="1553" spans="1:17" ht="15.75" thickTop="1">
      <c r="B1553" s="55"/>
    </row>
    <row r="1554" spans="1:17">
      <c r="A1554" s="4"/>
      <c r="B1554" s="370" t="e">
        <f>#REF!</f>
        <v>#REF!</v>
      </c>
      <c r="C1554" s="370"/>
      <c r="D1554" s="370"/>
      <c r="E1554" s="370"/>
      <c r="F1554" s="370"/>
      <c r="G1554" s="370"/>
      <c r="H1554" s="370"/>
    </row>
    <row r="1555" spans="1:17">
      <c r="A1555" s="6"/>
      <c r="B1555" s="7"/>
      <c r="C1555" s="8" t="s">
        <v>98</v>
      </c>
      <c r="D1555" s="9" t="s">
        <v>39</v>
      </c>
      <c r="E1555" s="74" t="s">
        <v>99</v>
      </c>
      <c r="F1555" s="75" t="s">
        <v>100</v>
      </c>
      <c r="G1555" s="11" t="s">
        <v>101</v>
      </c>
      <c r="H1555" s="12"/>
    </row>
    <row r="1556" spans="1:17">
      <c r="A1556" s="6"/>
      <c r="B1556" s="7"/>
      <c r="C1556" s="8"/>
      <c r="D1556" s="9"/>
      <c r="E1556" s="74"/>
      <c r="F1556" s="75"/>
      <c r="G1556" s="11"/>
      <c r="H1556" s="12"/>
    </row>
    <row r="1557" spans="1:17">
      <c r="A1557" s="19"/>
      <c r="B1557" s="56" t="s">
        <v>1505</v>
      </c>
      <c r="C1557" s="62">
        <v>1</v>
      </c>
      <c r="D1557" s="57" t="s">
        <v>1506</v>
      </c>
      <c r="E1557" s="61">
        <v>78.5</v>
      </c>
      <c r="F1557" s="61"/>
      <c r="G1557" s="17">
        <f>+C1557*E1557+C1557*F1557</f>
        <v>78.5</v>
      </c>
      <c r="H1557" s="12"/>
    </row>
    <row r="1558" spans="1:17">
      <c r="A1558" s="19"/>
      <c r="B1558" s="56" t="s">
        <v>1507</v>
      </c>
      <c r="C1558" s="62">
        <v>5</v>
      </c>
      <c r="D1558" s="57" t="s">
        <v>1506</v>
      </c>
      <c r="E1558" s="61">
        <v>24.76</v>
      </c>
      <c r="F1558" s="61"/>
      <c r="G1558" s="17">
        <f>+C1558*E1558+C1558*F1558</f>
        <v>123.80000000000001</v>
      </c>
      <c r="H1558" s="18"/>
    </row>
    <row r="1559" spans="1:17">
      <c r="A1559" s="19"/>
      <c r="B1559" s="56" t="s">
        <v>1508</v>
      </c>
      <c r="C1559" s="62">
        <v>5</v>
      </c>
      <c r="D1559" s="57" t="s">
        <v>1506</v>
      </c>
      <c r="E1559" s="61">
        <v>19.22</v>
      </c>
      <c r="F1559" s="61"/>
      <c r="G1559" s="17">
        <f>+C1559*E1559+C1559*F1559</f>
        <v>96.1</v>
      </c>
      <c r="H1559" s="12"/>
    </row>
    <row r="1560" spans="1:17">
      <c r="A1560" s="19"/>
      <c r="B1560" s="56"/>
      <c r="C1560" s="62"/>
      <c r="D1560" s="57"/>
      <c r="E1560" s="61"/>
      <c r="F1560" s="61"/>
      <c r="G1560" s="17"/>
      <c r="H1560" s="12"/>
    </row>
    <row r="1561" spans="1:17" ht="15.75" thickBot="1">
      <c r="A1561" s="21"/>
      <c r="B1561" s="22"/>
      <c r="C1561" s="23"/>
      <c r="D1561" s="24" t="s">
        <v>111</v>
      </c>
      <c r="E1561" s="78"/>
      <c r="F1561" s="79"/>
      <c r="G1561" s="26">
        <f>SUM(G1557:G1560)</f>
        <v>298.39999999999998</v>
      </c>
      <c r="H1561" s="27" t="s">
        <v>106</v>
      </c>
    </row>
    <row r="1562" spans="1:17" ht="15.75" thickTop="1">
      <c r="B1562" s="55"/>
    </row>
    <row r="1563" spans="1:17">
      <c r="A1563" s="64"/>
      <c r="B1563" s="370" t="e">
        <f>#REF!</f>
        <v>#REF!</v>
      </c>
      <c r="C1563" s="370"/>
      <c r="D1563" s="370"/>
      <c r="E1563" s="370"/>
      <c r="F1563" s="370"/>
      <c r="G1563" s="370"/>
      <c r="H1563" s="370"/>
      <c r="J1563">
        <v>0.1125</v>
      </c>
      <c r="K1563">
        <v>45</v>
      </c>
      <c r="L1563">
        <v>0.85000000000000009</v>
      </c>
      <c r="M1563">
        <v>3.2810000000000001</v>
      </c>
      <c r="N1563">
        <v>0.378</v>
      </c>
      <c r="O1563">
        <v>0.4743833850000001</v>
      </c>
    </row>
    <row r="1564" spans="1:17">
      <c r="A1564" s="6"/>
      <c r="B1564" s="7"/>
      <c r="C1564" s="8" t="s">
        <v>98</v>
      </c>
      <c r="D1564" s="9" t="s">
        <v>39</v>
      </c>
      <c r="E1564" s="74" t="s">
        <v>99</v>
      </c>
      <c r="F1564" s="75" t="s">
        <v>100</v>
      </c>
      <c r="G1564" s="11" t="s">
        <v>101</v>
      </c>
      <c r="H1564" s="12"/>
      <c r="J1564">
        <f>1/J1563</f>
        <v>8.8888888888888893</v>
      </c>
      <c r="K1564">
        <v>8.8888999999999996</v>
      </c>
      <c r="L1564">
        <v>3</v>
      </c>
      <c r="M1564">
        <v>3.2810000000000001</v>
      </c>
      <c r="N1564">
        <v>0.378</v>
      </c>
      <c r="O1564">
        <f>+K1564*L1564*M1564*N1564/100</f>
        <v>0.33072521340599997</v>
      </c>
    </row>
    <row r="1565" spans="1:17">
      <c r="A1565" s="19"/>
      <c r="B1565" s="56" t="s">
        <v>1511</v>
      </c>
      <c r="C1565" s="62">
        <v>1.05</v>
      </c>
      <c r="D1565" s="57" t="s">
        <v>1510</v>
      </c>
      <c r="E1565" s="61">
        <f>Materiales!$D$105</f>
        <v>5677.9661016949149</v>
      </c>
      <c r="F1565" s="61">
        <f>+E1565*0.18</f>
        <v>1022.0338983050847</v>
      </c>
      <c r="G1565" s="17">
        <f>+C1565*E1565+C1565*F1565</f>
        <v>7035</v>
      </c>
      <c r="H1565" s="12"/>
      <c r="J1565">
        <f>+K1564/0.2</f>
        <v>44.444499999999998</v>
      </c>
      <c r="O1565">
        <f>SUM(O1563:O1564)</f>
        <v>0.80510859840600002</v>
      </c>
      <c r="P1565">
        <f>+O1565*1.05</f>
        <v>0.84536402832630009</v>
      </c>
      <c r="Q1565">
        <f>+P1565/J1563</f>
        <v>7.5143469184560008</v>
      </c>
    </row>
    <row r="1566" spans="1:17">
      <c r="A1566" s="19"/>
      <c r="B1566" s="56" t="s">
        <v>1646</v>
      </c>
      <c r="C1566" s="62">
        <v>0.85</v>
      </c>
      <c r="D1566" s="57" t="s">
        <v>1513</v>
      </c>
      <c r="E1566" s="61">
        <f>Materiales!$D$38</f>
        <v>3305.0847457627119</v>
      </c>
      <c r="F1566" s="61">
        <f t="shared" ref="F1566:F1567" si="156">+E1566*0.18</f>
        <v>594.91525423728808</v>
      </c>
      <c r="G1566" s="17">
        <f>+C1566*E1566+C1566*F1566</f>
        <v>3315</v>
      </c>
      <c r="H1566" s="18"/>
    </row>
    <row r="1567" spans="1:17">
      <c r="A1567" s="19"/>
      <c r="B1567" s="56" t="s">
        <v>1514</v>
      </c>
      <c r="C1567" s="62">
        <f>+C1566*2</f>
        <v>1.7</v>
      </c>
      <c r="D1567" s="57" t="s">
        <v>1515</v>
      </c>
      <c r="E1567" s="61">
        <f>Materiales!$D$50</f>
        <v>93.220338983050851</v>
      </c>
      <c r="F1567" s="61">
        <f t="shared" si="156"/>
        <v>16.779661016949152</v>
      </c>
      <c r="G1567" s="17">
        <f>+C1567*E1567+C1567*F1567</f>
        <v>187</v>
      </c>
      <c r="H1567" s="12"/>
    </row>
    <row r="1568" spans="1:17">
      <c r="A1568" s="19"/>
      <c r="B1568" s="56" t="s">
        <v>1516</v>
      </c>
      <c r="C1568" s="62">
        <v>8.88889</v>
      </c>
      <c r="D1568" s="57" t="s">
        <v>43</v>
      </c>
      <c r="E1568" s="61">
        <v>107.87</v>
      </c>
      <c r="F1568" s="61"/>
      <c r="G1568" s="17">
        <f>+C1568*E1568+C1568*F1568</f>
        <v>958.8445643</v>
      </c>
      <c r="H1568" s="12"/>
    </row>
    <row r="1569" spans="1:17" ht="15.75" thickBot="1">
      <c r="A1569" s="21"/>
      <c r="B1569" s="22"/>
      <c r="C1569" s="23"/>
      <c r="D1569" s="24" t="s">
        <v>111</v>
      </c>
      <c r="E1569" s="78"/>
      <c r="F1569" s="79"/>
      <c r="G1569" s="26">
        <f>SUM(G1565:G1568)</f>
        <v>11495.8445643</v>
      </c>
      <c r="H1569" s="27" t="s">
        <v>106</v>
      </c>
    </row>
    <row r="1570" spans="1:17" ht="15.75" thickTop="1">
      <c r="B1570" s="55"/>
    </row>
    <row r="1571" spans="1:17">
      <c r="A1571" s="64"/>
      <c r="B1571" s="370" t="e">
        <f>#REF!</f>
        <v>#REF!</v>
      </c>
      <c r="C1571" s="370"/>
      <c r="D1571" s="370"/>
      <c r="E1571" s="370"/>
      <c r="F1571" s="370"/>
      <c r="G1571" s="370"/>
      <c r="H1571" s="370"/>
      <c r="J1571">
        <f>0.9*0.9*0.2</f>
        <v>0.16200000000000003</v>
      </c>
      <c r="K1571">
        <v>20</v>
      </c>
      <c r="L1571">
        <v>0.9</v>
      </c>
      <c r="M1571">
        <v>3.2810000000000001</v>
      </c>
      <c r="N1571">
        <v>0.66669999999999996</v>
      </c>
      <c r="O1571">
        <f>+K1571*L1571*M1571*N1571/100</f>
        <v>0.39373968599999998</v>
      </c>
      <c r="P1571">
        <f>+O1571/J1571</f>
        <v>2.4304918888888882</v>
      </c>
    </row>
    <row r="1572" spans="1:17">
      <c r="A1572" s="6"/>
      <c r="B1572" s="7"/>
      <c r="C1572" s="8" t="s">
        <v>98</v>
      </c>
      <c r="D1572" s="9" t="s">
        <v>39</v>
      </c>
      <c r="E1572" s="74" t="s">
        <v>99</v>
      </c>
      <c r="F1572" s="75" t="s">
        <v>100</v>
      </c>
      <c r="G1572" s="11" t="s">
        <v>101</v>
      </c>
      <c r="H1572" s="12"/>
      <c r="J1572">
        <f>1/J1571</f>
        <v>6.1728395061728385</v>
      </c>
      <c r="K1572">
        <v>8.8888999999999996</v>
      </c>
      <c r="L1572">
        <v>3</v>
      </c>
      <c r="M1572">
        <v>3.2810000000000001</v>
      </c>
      <c r="N1572">
        <v>0.378</v>
      </c>
      <c r="O1572">
        <f>+K1572*L1572*M1572*N1572/100</f>
        <v>0.33072521340599997</v>
      </c>
    </row>
    <row r="1573" spans="1:17">
      <c r="A1573" s="19"/>
      <c r="B1573" s="56" t="s">
        <v>1511</v>
      </c>
      <c r="C1573" s="62">
        <v>1.05</v>
      </c>
      <c r="D1573" s="57" t="s">
        <v>1510</v>
      </c>
      <c r="E1573" s="61">
        <f>Materiales!$D$105</f>
        <v>5677.9661016949149</v>
      </c>
      <c r="F1573" s="61">
        <f>+E1573*0.18</f>
        <v>1022.0338983050847</v>
      </c>
      <c r="G1573" s="17">
        <f>+C1573*E1573+C1573*F1573</f>
        <v>7035</v>
      </c>
      <c r="H1573" s="12"/>
      <c r="J1573">
        <f>+K1572/0.2</f>
        <v>44.444499999999998</v>
      </c>
      <c r="O1573">
        <f>SUM(O1571:O1572)</f>
        <v>0.7244648994059999</v>
      </c>
      <c r="P1573">
        <f>+O1573*1.05</f>
        <v>0.76068814437629995</v>
      </c>
      <c r="Q1573">
        <f>+P1573/J1571</f>
        <v>4.6956058294833323</v>
      </c>
    </row>
    <row r="1574" spans="1:17">
      <c r="A1574" s="19"/>
      <c r="B1574" s="56" t="s">
        <v>1645</v>
      </c>
      <c r="C1574" s="62">
        <v>2.4300000000000002</v>
      </c>
      <c r="D1574" s="57" t="s">
        <v>1513</v>
      </c>
      <c r="E1574" s="61">
        <f>Materiales!$D$38</f>
        <v>3305.0847457627119</v>
      </c>
      <c r="F1574" s="61">
        <f t="shared" ref="F1574:F1575" si="157">+E1574*0.18</f>
        <v>594.91525423728808</v>
      </c>
      <c r="G1574" s="17">
        <f>+C1574*E1574+C1574*F1574</f>
        <v>9477</v>
      </c>
      <c r="H1574" s="18"/>
    </row>
    <row r="1575" spans="1:17">
      <c r="A1575" s="19"/>
      <c r="B1575" s="56" t="s">
        <v>1514</v>
      </c>
      <c r="C1575" s="62">
        <f>+C1574*2</f>
        <v>4.8600000000000003</v>
      </c>
      <c r="D1575" s="57" t="s">
        <v>1515</v>
      </c>
      <c r="E1575" s="61">
        <f>Materiales!$D$50</f>
        <v>93.220338983050851</v>
      </c>
      <c r="F1575" s="61">
        <f t="shared" si="157"/>
        <v>16.779661016949152</v>
      </c>
      <c r="G1575" s="17">
        <f>+C1575*E1575+C1575*F1575</f>
        <v>534.6</v>
      </c>
      <c r="H1575" s="12"/>
    </row>
    <row r="1576" spans="1:17">
      <c r="A1576" s="19"/>
      <c r="B1576" s="56" t="s">
        <v>1516</v>
      </c>
      <c r="C1576" s="62">
        <f>+C1574</f>
        <v>2.4300000000000002</v>
      </c>
      <c r="D1576" s="57" t="s">
        <v>1513</v>
      </c>
      <c r="E1576" s="61">
        <v>323.73</v>
      </c>
      <c r="F1576" s="61"/>
      <c r="G1576" s="17">
        <f>+C1576*E1576+C1576*F1576</f>
        <v>786.66390000000013</v>
      </c>
      <c r="H1576" s="12"/>
    </row>
    <row r="1577" spans="1:17" ht="15.75" thickBot="1">
      <c r="A1577" s="21"/>
      <c r="B1577" s="22"/>
      <c r="C1577" s="23"/>
      <c r="D1577" s="24" t="s">
        <v>111</v>
      </c>
      <c r="E1577" s="78"/>
      <c r="F1577" s="79"/>
      <c r="G1577" s="26">
        <f>SUM(G1573:G1576)</f>
        <v>17833.263899999998</v>
      </c>
      <c r="H1577" s="27" t="s">
        <v>106</v>
      </c>
    </row>
    <row r="1578" spans="1:17" ht="15.75" thickTop="1">
      <c r="B1578" s="55"/>
    </row>
    <row r="1579" spans="1:17">
      <c r="A1579" s="64"/>
      <c r="B1579" s="370" t="e">
        <f>#REF!</f>
        <v>#REF!</v>
      </c>
      <c r="C1579" s="370"/>
      <c r="D1579" s="370"/>
      <c r="E1579" s="370"/>
      <c r="F1579" s="370"/>
      <c r="G1579" s="370"/>
      <c r="H1579" s="370"/>
      <c r="J1579">
        <f>0.25*0.25</f>
        <v>6.25E-2</v>
      </c>
      <c r="K1579">
        <f>1/J1579</f>
        <v>16</v>
      </c>
      <c r="L1579">
        <v>6</v>
      </c>
      <c r="M1579">
        <v>3.2810000000000001</v>
      </c>
      <c r="N1579">
        <v>0.66669999999999996</v>
      </c>
      <c r="O1579">
        <f>+K1579*L1579*M1579*N1579/100</f>
        <v>2.0999449919999997</v>
      </c>
      <c r="P1579">
        <f>+O1579*1.05</f>
        <v>2.2049422416</v>
      </c>
    </row>
    <row r="1580" spans="1:17">
      <c r="A1580" s="6"/>
      <c r="B1580" s="7"/>
      <c r="C1580" s="8" t="s">
        <v>98</v>
      </c>
      <c r="D1580" s="9" t="s">
        <v>39</v>
      </c>
      <c r="E1580" s="74" t="s">
        <v>99</v>
      </c>
      <c r="F1580" s="75" t="s">
        <v>100</v>
      </c>
      <c r="G1580" s="11" t="s">
        <v>101</v>
      </c>
      <c r="H1580" s="12"/>
      <c r="J1580">
        <f>1/J1579</f>
        <v>16</v>
      </c>
      <c r="K1580">
        <v>80</v>
      </c>
      <c r="L1580">
        <f>0.25*4</f>
        <v>1</v>
      </c>
      <c r="M1580">
        <v>3.2810000000000001</v>
      </c>
      <c r="N1580">
        <v>0.378</v>
      </c>
      <c r="O1580">
        <f>+K1580*L1580*M1580*N1580/100</f>
        <v>0.99217440000000012</v>
      </c>
      <c r="P1580">
        <f>+O1580*1.05</f>
        <v>1.0417831200000001</v>
      </c>
    </row>
    <row r="1581" spans="1:17">
      <c r="A1581" s="19"/>
      <c r="B1581" s="56" t="s">
        <v>1511</v>
      </c>
      <c r="C1581" s="62">
        <v>1.05</v>
      </c>
      <c r="D1581" s="57" t="s">
        <v>1510</v>
      </c>
      <c r="E1581" s="61">
        <f>Materiales!$D$105</f>
        <v>5677.9661016949149</v>
      </c>
      <c r="F1581" s="61">
        <f>+E1581*0.18</f>
        <v>1022.0338983050847</v>
      </c>
      <c r="G1581" s="17">
        <f t="shared" ref="G1581:G1586" si="158">+C1581*E1581+C1581*F1581</f>
        <v>7035</v>
      </c>
      <c r="H1581" s="12"/>
      <c r="J1581">
        <f>+K1579/0.2</f>
        <v>80</v>
      </c>
      <c r="O1581">
        <f>SUM(O1579:O1580)</f>
        <v>3.0921193919999999</v>
      </c>
      <c r="P1581">
        <f>+O1581*1.05</f>
        <v>3.2467253615999998</v>
      </c>
      <c r="Q1581">
        <f>+P1581/J1579</f>
        <v>51.947605785599997</v>
      </c>
    </row>
    <row r="1582" spans="1:17">
      <c r="A1582" s="19"/>
      <c r="B1582" s="56" t="s">
        <v>1645</v>
      </c>
      <c r="C1582" s="62">
        <v>2.2049422416</v>
      </c>
      <c r="D1582" s="57" t="s">
        <v>1513</v>
      </c>
      <c r="E1582" s="61">
        <f>Materiales!$D$38</f>
        <v>3305.0847457627119</v>
      </c>
      <c r="F1582" s="61">
        <f t="shared" ref="F1582:F1584" si="159">+E1582*0.18</f>
        <v>594.91525423728808</v>
      </c>
      <c r="G1582" s="17">
        <f t="shared" si="158"/>
        <v>8599.2747422399989</v>
      </c>
      <c r="H1582" s="18"/>
    </row>
    <row r="1583" spans="1:17">
      <c r="A1583" s="19"/>
      <c r="B1583" s="56" t="s">
        <v>1646</v>
      </c>
      <c r="C1583" s="62">
        <v>1.0417831200000001</v>
      </c>
      <c r="D1583" s="57" t="s">
        <v>1513</v>
      </c>
      <c r="E1583" s="61">
        <f>Materiales!$D$38</f>
        <v>3305.0847457627119</v>
      </c>
      <c r="F1583" s="61">
        <f t="shared" ref="F1583" si="160">+E1583*0.18</f>
        <v>594.91525423728808</v>
      </c>
      <c r="G1583" s="17">
        <f t="shared" si="158"/>
        <v>4062.9541680000002</v>
      </c>
      <c r="H1583" s="18"/>
    </row>
    <row r="1584" spans="1:17">
      <c r="A1584" s="19"/>
      <c r="B1584" s="56" t="s">
        <v>1514</v>
      </c>
      <c r="C1584" s="62">
        <f>+C1582*2+C1583*2</f>
        <v>6.4934507232000005</v>
      </c>
      <c r="D1584" s="57" t="s">
        <v>1515</v>
      </c>
      <c r="E1584" s="61">
        <f>Materiales!$D$50</f>
        <v>93.220338983050851</v>
      </c>
      <c r="F1584" s="61">
        <f t="shared" si="159"/>
        <v>16.779661016949152</v>
      </c>
      <c r="G1584" s="17">
        <f t="shared" si="158"/>
        <v>714.27957955200009</v>
      </c>
      <c r="H1584" s="12"/>
    </row>
    <row r="1585" spans="1:17">
      <c r="A1585" s="19"/>
      <c r="B1585" s="56" t="s">
        <v>1516</v>
      </c>
      <c r="C1585" s="62">
        <v>16</v>
      </c>
      <c r="D1585" s="57" t="s">
        <v>43</v>
      </c>
      <c r="E1585" s="61">
        <v>107.87</v>
      </c>
      <c r="F1585" s="61"/>
      <c r="G1585" s="17">
        <f t="shared" si="158"/>
        <v>1725.92</v>
      </c>
      <c r="H1585" s="12"/>
    </row>
    <row r="1586" spans="1:17">
      <c r="A1586" s="19"/>
      <c r="B1586" s="56" t="s">
        <v>1517</v>
      </c>
      <c r="C1586" s="62">
        <f>16*4</f>
        <v>64</v>
      </c>
      <c r="D1586" s="57" t="s">
        <v>43</v>
      </c>
      <c r="E1586" s="61">
        <v>157.5</v>
      </c>
      <c r="F1586" s="61"/>
      <c r="G1586" s="17">
        <f t="shared" si="158"/>
        <v>10080</v>
      </c>
      <c r="H1586" s="12"/>
    </row>
    <row r="1587" spans="1:17" ht="15.75" thickBot="1">
      <c r="A1587" s="21"/>
      <c r="B1587" s="22"/>
      <c r="C1587" s="23"/>
      <c r="D1587" s="24" t="s">
        <v>111</v>
      </c>
      <c r="E1587" s="78"/>
      <c r="F1587" s="79"/>
      <c r="G1587" s="26">
        <f>SUM(G1581:G1586)</f>
        <v>32217.428489792001</v>
      </c>
      <c r="H1587" s="27" t="s">
        <v>106</v>
      </c>
    </row>
    <row r="1588" spans="1:17" ht="15.75" thickTop="1">
      <c r="B1588" s="55"/>
    </row>
    <row r="1589" spans="1:17">
      <c r="A1589" s="64"/>
      <c r="B1589" s="370" t="e">
        <f>#REF!</f>
        <v>#REF!</v>
      </c>
      <c r="C1589" s="370"/>
      <c r="D1589" s="370"/>
      <c r="E1589" s="370"/>
      <c r="F1589" s="370"/>
      <c r="G1589" s="370"/>
      <c r="H1589" s="370"/>
      <c r="J1589">
        <v>1.008</v>
      </c>
    </row>
    <row r="1590" spans="1:17">
      <c r="A1590" s="6"/>
      <c r="B1590" s="7"/>
      <c r="C1590" s="8" t="s">
        <v>98</v>
      </c>
      <c r="D1590" s="9" t="s">
        <v>39</v>
      </c>
      <c r="E1590" s="74" t="s">
        <v>99</v>
      </c>
      <c r="F1590" s="75" t="s">
        <v>100</v>
      </c>
      <c r="G1590" s="11" t="s">
        <v>101</v>
      </c>
      <c r="H1590" s="12"/>
      <c r="J1590">
        <f>1.6/0.15</f>
        <v>10.666666666666668</v>
      </c>
      <c r="K1590">
        <v>11</v>
      </c>
      <c r="L1590">
        <v>1.4</v>
      </c>
      <c r="M1590">
        <v>3.2810000000000001</v>
      </c>
      <c r="N1590">
        <v>0.66700000000000004</v>
      </c>
      <c r="O1590">
        <f>+K1590*L1590*M1590*N1590/100</f>
        <v>0.337017758</v>
      </c>
    </row>
    <row r="1591" spans="1:17">
      <c r="A1591" s="19"/>
      <c r="B1591" s="56" t="s">
        <v>1521</v>
      </c>
      <c r="C1591" s="62">
        <v>13</v>
      </c>
      <c r="D1591" s="57" t="s">
        <v>3</v>
      </c>
      <c r="E1591" s="61">
        <f>Materiales!$D$118</f>
        <v>40.677966101694913</v>
      </c>
      <c r="F1591" s="61">
        <f>+E1591*0.18</f>
        <v>7.3220338983050839</v>
      </c>
      <c r="G1591" s="17">
        <f>+C1591*E1591+C1591*F1591</f>
        <v>623.99999999999989</v>
      </c>
      <c r="H1591" s="12"/>
      <c r="O1591">
        <f>SUM(O1590:O1590)</f>
        <v>0.337017758</v>
      </c>
      <c r="P1591">
        <f>+O1591*1.05</f>
        <v>0.3538686459</v>
      </c>
      <c r="Q1591">
        <f>+P1591/J1589</f>
        <v>0.35106016458333333</v>
      </c>
    </row>
    <row r="1592" spans="1:17">
      <c r="A1592" s="19"/>
      <c r="B1592" s="56" t="s">
        <v>1522</v>
      </c>
      <c r="C1592" s="62">
        <v>2.3760000000000003E-2</v>
      </c>
      <c r="D1592" s="57" t="s">
        <v>20</v>
      </c>
      <c r="E1592" s="61">
        <f>'Analisis Auxiliares'!$G$11</f>
        <v>5880</v>
      </c>
      <c r="F1592" s="61"/>
      <c r="G1592" s="17">
        <f>+C1592*E1592+C1592*F1592</f>
        <v>139.70880000000002</v>
      </c>
      <c r="H1592" s="18"/>
    </row>
    <row r="1593" spans="1:17">
      <c r="A1593" s="19"/>
      <c r="B1593" s="56" t="s">
        <v>1523</v>
      </c>
      <c r="C1593" s="62">
        <v>3.1199999999999999E-2</v>
      </c>
      <c r="D1593" s="57" t="s">
        <v>20</v>
      </c>
      <c r="E1593" s="61">
        <f>'Analisis Auxiliares'!$G$44</f>
        <v>6785.5</v>
      </c>
      <c r="F1593" s="61"/>
      <c r="G1593" s="17">
        <f>+C1593*E1593+C1593*F1593</f>
        <v>211.70759999999999</v>
      </c>
      <c r="H1593" s="12"/>
    </row>
    <row r="1594" spans="1:17">
      <c r="A1594" s="19"/>
      <c r="B1594" s="56" t="s">
        <v>1524</v>
      </c>
      <c r="C1594" s="62">
        <v>2.0250000000000001E-2</v>
      </c>
      <c r="D1594" s="57" t="s">
        <v>164</v>
      </c>
      <c r="E1594" s="61">
        <f>Materiales!$D$38</f>
        <v>3305.0847457627119</v>
      </c>
      <c r="F1594" s="61">
        <f t="shared" ref="F1594:F1595" si="161">+E1594*0.18</f>
        <v>594.91525423728808</v>
      </c>
      <c r="G1594" s="17">
        <f t="shared" ref="G1594:G1597" si="162">+C1594*E1594+C1594*F1594</f>
        <v>78.975000000000009</v>
      </c>
      <c r="H1594" s="12"/>
    </row>
    <row r="1595" spans="1:17">
      <c r="A1595" s="19"/>
      <c r="B1595" s="56" t="s">
        <v>1525</v>
      </c>
      <c r="C1595" s="62">
        <v>4.0500000000000001E-2</v>
      </c>
      <c r="D1595" s="57" t="s">
        <v>178</v>
      </c>
      <c r="E1595" s="61">
        <f>110/1.18</f>
        <v>93.220338983050851</v>
      </c>
      <c r="F1595" s="61">
        <f t="shared" si="161"/>
        <v>16.779661016949152</v>
      </c>
      <c r="G1595" s="17">
        <f t="shared" si="162"/>
        <v>4.4550000000000001</v>
      </c>
      <c r="H1595" s="12"/>
    </row>
    <row r="1596" spans="1:17">
      <c r="A1596" s="19"/>
      <c r="B1596" s="56" t="s">
        <v>1526</v>
      </c>
      <c r="C1596" s="62"/>
      <c r="D1596" s="57" t="s">
        <v>9</v>
      </c>
      <c r="E1596" s="61">
        <v>35</v>
      </c>
      <c r="F1596" s="61"/>
      <c r="G1596" s="17">
        <f t="shared" si="162"/>
        <v>0</v>
      </c>
      <c r="H1596" s="12"/>
    </row>
    <row r="1597" spans="1:17">
      <c r="A1597" s="19"/>
      <c r="B1597" s="56" t="s">
        <v>1527</v>
      </c>
      <c r="C1597" s="62">
        <v>13</v>
      </c>
      <c r="D1597" s="57" t="s">
        <v>3</v>
      </c>
      <c r="E1597" s="61">
        <v>19.57</v>
      </c>
      <c r="F1597" s="61"/>
      <c r="G1597" s="17">
        <f t="shared" si="162"/>
        <v>254.41</v>
      </c>
      <c r="H1597" s="12"/>
    </row>
    <row r="1598" spans="1:17" ht="15.75" thickBot="1">
      <c r="A1598" s="21"/>
      <c r="B1598" s="22"/>
      <c r="C1598" s="23"/>
      <c r="D1598" s="24" t="s">
        <v>111</v>
      </c>
      <c r="E1598" s="78"/>
      <c r="F1598" s="79"/>
      <c r="G1598" s="26">
        <f>SUM(G1591:G1597)</f>
        <v>1313.2563999999998</v>
      </c>
      <c r="H1598" s="27" t="s">
        <v>21</v>
      </c>
    </row>
    <row r="1599" spans="1:17" ht="15.75" thickTop="1">
      <c r="B1599" s="55"/>
    </row>
    <row r="1600" spans="1:17">
      <c r="A1600" s="64"/>
      <c r="B1600" s="370" t="e">
        <f>#REF!</f>
        <v>#REF!</v>
      </c>
      <c r="C1600" s="370"/>
      <c r="D1600" s="370"/>
      <c r="E1600" s="370"/>
      <c r="F1600" s="370"/>
      <c r="G1600" s="370"/>
      <c r="H1600" s="370"/>
      <c r="J1600">
        <v>1.008</v>
      </c>
    </row>
    <row r="1601" spans="1:17">
      <c r="A1601" s="6"/>
      <c r="B1601" s="7"/>
      <c r="C1601" s="8" t="s">
        <v>98</v>
      </c>
      <c r="D1601" s="9" t="s">
        <v>39</v>
      </c>
      <c r="E1601" s="74" t="s">
        <v>99</v>
      </c>
      <c r="F1601" s="75" t="s">
        <v>100</v>
      </c>
      <c r="G1601" s="11" t="s">
        <v>101</v>
      </c>
      <c r="H1601" s="12"/>
      <c r="J1601">
        <f>1.6/0.15</f>
        <v>10.666666666666668</v>
      </c>
      <c r="K1601">
        <v>11</v>
      </c>
      <c r="L1601">
        <v>1.4</v>
      </c>
      <c r="M1601">
        <v>3.2810000000000001</v>
      </c>
      <c r="N1601">
        <v>0.66700000000000004</v>
      </c>
      <c r="O1601">
        <f>+K1601*L1601*M1601*N1601/100</f>
        <v>0.337017758</v>
      </c>
    </row>
    <row r="1602" spans="1:17">
      <c r="A1602" s="19"/>
      <c r="B1602" s="56" t="s">
        <v>1521</v>
      </c>
      <c r="C1602" s="62">
        <v>13</v>
      </c>
      <c r="D1602" s="57" t="s">
        <v>3</v>
      </c>
      <c r="E1602" s="61">
        <f>Materiales!$D$118</f>
        <v>40.677966101694913</v>
      </c>
      <c r="F1602" s="61">
        <f>+E1602*0.18</f>
        <v>7.3220338983050839</v>
      </c>
      <c r="G1602" s="17">
        <f>+C1602*E1602+C1602*F1602</f>
        <v>623.99999999999989</v>
      </c>
      <c r="H1602" s="12"/>
      <c r="O1602">
        <f>SUM(O1601:O1601)</f>
        <v>0.337017758</v>
      </c>
      <c r="P1602">
        <f>+O1602*1.05</f>
        <v>0.3538686459</v>
      </c>
      <c r="Q1602">
        <f>+P1602/J1600</f>
        <v>0.35106016458333333</v>
      </c>
    </row>
    <row r="1603" spans="1:17">
      <c r="A1603" s="19"/>
      <c r="B1603" s="56" t="s">
        <v>1522</v>
      </c>
      <c r="C1603" s="62">
        <v>2.3760000000000003E-2</v>
      </c>
      <c r="D1603" s="57" t="s">
        <v>20</v>
      </c>
      <c r="E1603" s="61">
        <f>'Analisis Auxiliares'!$G$11</f>
        <v>5880</v>
      </c>
      <c r="F1603" s="61"/>
      <c r="G1603" s="17">
        <f>+C1603*E1603+C1603*F1603</f>
        <v>139.70880000000002</v>
      </c>
      <c r="H1603" s="18"/>
    </row>
    <row r="1604" spans="1:17">
      <c r="A1604" s="19"/>
      <c r="B1604" s="56" t="s">
        <v>1523</v>
      </c>
      <c r="C1604" s="62">
        <v>3.1199999999999999E-2</v>
      </c>
      <c r="D1604" s="57" t="s">
        <v>20</v>
      </c>
      <c r="E1604" s="61">
        <f>'Analisis Auxiliares'!$G$44</f>
        <v>6785.5</v>
      </c>
      <c r="F1604" s="61"/>
      <c r="G1604" s="17">
        <f>+C1604*E1604+C1604*F1604</f>
        <v>211.70759999999999</v>
      </c>
      <c r="H1604" s="12"/>
    </row>
    <row r="1605" spans="1:17">
      <c r="A1605" s="19"/>
      <c r="B1605" s="56" t="s">
        <v>1524</v>
      </c>
      <c r="C1605" s="62">
        <v>2.0250000000000001E-2</v>
      </c>
      <c r="D1605" s="57" t="s">
        <v>164</v>
      </c>
      <c r="E1605" s="61">
        <f>Materiales!$D$38</f>
        <v>3305.0847457627119</v>
      </c>
      <c r="F1605" s="61">
        <f t="shared" ref="F1605:F1606" si="163">+E1605*0.18</f>
        <v>594.91525423728808</v>
      </c>
      <c r="G1605" s="17">
        <f t="shared" ref="G1605:G1608" si="164">+C1605*E1605+C1605*F1605</f>
        <v>78.975000000000009</v>
      </c>
      <c r="H1605" s="12"/>
    </row>
    <row r="1606" spans="1:17">
      <c r="A1606" s="19"/>
      <c r="B1606" s="56" t="s">
        <v>1525</v>
      </c>
      <c r="C1606" s="62">
        <v>4.0500000000000001E-2</v>
      </c>
      <c r="D1606" s="57" t="s">
        <v>178</v>
      </c>
      <c r="E1606" s="61">
        <f>110/1.18</f>
        <v>93.220338983050851</v>
      </c>
      <c r="F1606" s="61">
        <f t="shared" si="163"/>
        <v>16.779661016949152</v>
      </c>
      <c r="G1606" s="17">
        <f t="shared" si="164"/>
        <v>4.4550000000000001</v>
      </c>
      <c r="H1606" s="12"/>
    </row>
    <row r="1607" spans="1:17">
      <c r="A1607" s="19"/>
      <c r="B1607" s="56" t="s">
        <v>1526</v>
      </c>
      <c r="C1607" s="62"/>
      <c r="D1607" s="57" t="s">
        <v>9</v>
      </c>
      <c r="E1607" s="61">
        <v>35</v>
      </c>
      <c r="F1607" s="61"/>
      <c r="G1607" s="17">
        <f t="shared" si="164"/>
        <v>0</v>
      </c>
      <c r="H1607" s="12"/>
    </row>
    <row r="1608" spans="1:17">
      <c r="A1608" s="19"/>
      <c r="B1608" s="56" t="s">
        <v>1527</v>
      </c>
      <c r="C1608" s="62">
        <v>13</v>
      </c>
      <c r="D1608" s="57" t="s">
        <v>3</v>
      </c>
      <c r="E1608" s="61">
        <v>19.57</v>
      </c>
      <c r="F1608" s="61"/>
      <c r="G1608" s="17">
        <f t="shared" si="164"/>
        <v>254.41</v>
      </c>
      <c r="H1608" s="12"/>
    </row>
    <row r="1609" spans="1:17" ht="15.75" thickBot="1">
      <c r="A1609" s="21"/>
      <c r="B1609" s="22"/>
      <c r="C1609" s="23"/>
      <c r="D1609" s="24" t="s">
        <v>111</v>
      </c>
      <c r="E1609" s="78"/>
      <c r="F1609" s="79"/>
      <c r="G1609" s="26">
        <f>SUM(G1602:G1608)</f>
        <v>1313.2563999999998</v>
      </c>
      <c r="H1609" s="27" t="s">
        <v>21</v>
      </c>
    </row>
    <row r="1610" spans="1:17" ht="15.75" thickTop="1">
      <c r="B1610" s="55"/>
    </row>
    <row r="1611" spans="1:17">
      <c r="A1611" s="64"/>
      <c r="B1611" s="370" t="e">
        <f>#REF!</f>
        <v>#REF!</v>
      </c>
      <c r="C1611" s="370"/>
      <c r="D1611" s="370"/>
      <c r="E1611" s="370"/>
      <c r="F1611" s="370"/>
      <c r="G1611" s="370"/>
      <c r="H1611" s="370"/>
      <c r="J1611">
        <v>1.008</v>
      </c>
    </row>
    <row r="1612" spans="1:17">
      <c r="A1612" s="6"/>
      <c r="B1612" s="7"/>
      <c r="C1612" s="8" t="s">
        <v>98</v>
      </c>
      <c r="D1612" s="9" t="s">
        <v>39</v>
      </c>
      <c r="E1612" s="74" t="s">
        <v>99</v>
      </c>
      <c r="F1612" s="75" t="s">
        <v>100</v>
      </c>
      <c r="G1612" s="11" t="s">
        <v>101</v>
      </c>
      <c r="H1612" s="12"/>
      <c r="J1612">
        <f>1.6/0.15</f>
        <v>10.666666666666668</v>
      </c>
      <c r="K1612">
        <v>11</v>
      </c>
      <c r="L1612">
        <v>1.4</v>
      </c>
      <c r="M1612">
        <v>3.2810000000000001</v>
      </c>
      <c r="N1612">
        <v>0.66700000000000004</v>
      </c>
      <c r="O1612">
        <f>+K1612*L1612*M1612*N1612/100</f>
        <v>0.337017758</v>
      </c>
    </row>
    <row r="1613" spans="1:17">
      <c r="A1613" s="6"/>
      <c r="B1613" s="7"/>
      <c r="C1613" s="8"/>
      <c r="D1613" s="9"/>
      <c r="E1613" s="74"/>
      <c r="F1613" s="75"/>
      <c r="G1613" s="11"/>
      <c r="H1613" s="12"/>
      <c r="J1613">
        <f>1.4/0.15</f>
        <v>9.3333333333333339</v>
      </c>
      <c r="K1613">
        <v>9</v>
      </c>
      <c r="L1613">
        <v>1.6</v>
      </c>
      <c r="M1613">
        <v>3.2810000000000001</v>
      </c>
      <c r="N1613">
        <v>0.66700000000000004</v>
      </c>
      <c r="O1613">
        <f>+K1613*L1613*M1613*N1613/100</f>
        <v>0.31513348800000002</v>
      </c>
    </row>
    <row r="1614" spans="1:17">
      <c r="A1614" s="19"/>
      <c r="B1614" s="56" t="s">
        <v>1528</v>
      </c>
      <c r="C1614" s="62">
        <v>2.1899999999999999E-2</v>
      </c>
      <c r="D1614" s="57" t="s">
        <v>20</v>
      </c>
      <c r="E1614" s="61">
        <f>'Analisis Auxiliares'!$G$55</f>
        <v>8214.5499999999993</v>
      </c>
      <c r="F1614" s="61"/>
      <c r="G1614" s="17">
        <f>+C1614*E1614+C1614*F1614</f>
        <v>179.89864499999999</v>
      </c>
      <c r="H1614" s="12"/>
      <c r="O1614">
        <f>SUM(O1612:O1613)</f>
        <v>0.65215124600000007</v>
      </c>
      <c r="P1614">
        <f>+O1614*1.05</f>
        <v>0.68475880830000013</v>
      </c>
      <c r="Q1614">
        <f>+P1614/J1611</f>
        <v>0.67932421458333347</v>
      </c>
    </row>
    <row r="1615" spans="1:17">
      <c r="A1615" s="19"/>
      <c r="B1615" s="56" t="s">
        <v>1529</v>
      </c>
      <c r="C1615" s="62">
        <v>0.16669999999999999</v>
      </c>
      <c r="D1615" s="57" t="s">
        <v>190</v>
      </c>
      <c r="E1615" s="61">
        <f>Materiales!$D$64</f>
        <v>101.69491525423729</v>
      </c>
      <c r="F1615" s="61">
        <f>+E1615*0.18</f>
        <v>18.305084745762709</v>
      </c>
      <c r="G1615" s="17">
        <f>+C1615*E1615+C1615*F1615</f>
        <v>20.003999999999998</v>
      </c>
      <c r="H1615" s="18"/>
    </row>
    <row r="1616" spans="1:17">
      <c r="A1616" s="19"/>
      <c r="B1616" s="56" t="s">
        <v>1531</v>
      </c>
      <c r="C1616" s="62">
        <v>1</v>
      </c>
      <c r="D1616" s="57" t="s">
        <v>9</v>
      </c>
      <c r="E1616" s="61">
        <v>35</v>
      </c>
      <c r="F1616" s="61"/>
      <c r="G1616" s="17">
        <f>+C1616*E1616+C1616*F1616</f>
        <v>35</v>
      </c>
      <c r="H1616" s="18"/>
    </row>
    <row r="1617" spans="1:17">
      <c r="A1617" s="19"/>
      <c r="B1617" s="56" t="s">
        <v>1679</v>
      </c>
      <c r="C1617" s="62">
        <v>1</v>
      </c>
      <c r="D1617" s="57" t="s">
        <v>9</v>
      </c>
      <c r="E1617" s="61">
        <v>199.95</v>
      </c>
      <c r="F1617" s="61">
        <v>0</v>
      </c>
      <c r="G1617" s="17">
        <f>+C1617*E1617+C1617*F1617</f>
        <v>199.95</v>
      </c>
      <c r="H1617" s="12"/>
    </row>
    <row r="1618" spans="1:17" ht="15.75" thickBot="1">
      <c r="A1618" s="21"/>
      <c r="B1618" s="22"/>
      <c r="C1618" s="23"/>
      <c r="D1618" s="24" t="s">
        <v>111</v>
      </c>
      <c r="E1618" s="78"/>
      <c r="F1618" s="79"/>
      <c r="G1618" s="26">
        <f>SUM(G1614:G1617)</f>
        <v>434.85264499999994</v>
      </c>
      <c r="H1618" s="27" t="s">
        <v>21</v>
      </c>
    </row>
    <row r="1619" spans="1:17" ht="15.75" thickTop="1">
      <c r="B1619" s="55"/>
    </row>
    <row r="1620" spans="1:17">
      <c r="A1620" s="64"/>
      <c r="B1620" s="370" t="e">
        <f>#REF!</f>
        <v>#REF!</v>
      </c>
      <c r="C1620" s="370"/>
      <c r="D1620" s="370"/>
      <c r="E1620" s="370"/>
      <c r="F1620" s="370"/>
      <c r="G1620" s="370"/>
      <c r="H1620" s="370"/>
      <c r="J1620">
        <v>1.008</v>
      </c>
    </row>
    <row r="1621" spans="1:17">
      <c r="A1621" s="6"/>
      <c r="B1621" s="7"/>
      <c r="C1621" s="8" t="s">
        <v>98</v>
      </c>
      <c r="D1621" s="9" t="s">
        <v>39</v>
      </c>
      <c r="E1621" s="74" t="s">
        <v>99</v>
      </c>
      <c r="F1621" s="75" t="s">
        <v>100</v>
      </c>
      <c r="G1621" s="11" t="s">
        <v>101</v>
      </c>
      <c r="H1621" s="12"/>
      <c r="J1621">
        <f>1.6/0.15</f>
        <v>10.666666666666668</v>
      </c>
      <c r="K1621">
        <v>11</v>
      </c>
      <c r="L1621">
        <v>1.4</v>
      </c>
      <c r="M1621">
        <v>3.2810000000000001</v>
      </c>
      <c r="N1621">
        <v>0.66700000000000004</v>
      </c>
      <c r="O1621">
        <f>+K1621*L1621*M1621*N1621/100</f>
        <v>0.337017758</v>
      </c>
    </row>
    <row r="1622" spans="1:17">
      <c r="A1622" s="6"/>
      <c r="B1622" s="7"/>
      <c r="C1622" s="8"/>
      <c r="D1622" s="9"/>
      <c r="E1622" s="74"/>
      <c r="F1622" s="75"/>
      <c r="G1622" s="11"/>
      <c r="H1622" s="12"/>
      <c r="J1622">
        <f>1.4/0.15</f>
        <v>9.3333333333333339</v>
      </c>
      <c r="K1622">
        <v>9</v>
      </c>
      <c r="L1622">
        <v>1.6</v>
      </c>
      <c r="M1622">
        <v>3.2810000000000001</v>
      </c>
      <c r="N1622">
        <v>0.66700000000000004</v>
      </c>
      <c r="O1622">
        <f>+K1622*L1622*M1622*N1622/100</f>
        <v>0.31513348800000002</v>
      </c>
    </row>
    <row r="1623" spans="1:17">
      <c r="A1623" s="19"/>
      <c r="B1623" s="56" t="s">
        <v>1528</v>
      </c>
      <c r="C1623" s="62">
        <v>2.3E-3</v>
      </c>
      <c r="D1623" s="57" t="s">
        <v>20</v>
      </c>
      <c r="E1623" s="61">
        <f>'Analisis Auxiliares'!$G$55</f>
        <v>8214.5499999999993</v>
      </c>
      <c r="F1623" s="61"/>
      <c r="G1623" s="17">
        <f>+C1623*E1623+C1623*F1623</f>
        <v>18.893464999999999</v>
      </c>
      <c r="H1623" s="12"/>
      <c r="O1623">
        <f>SUM(O1621:O1622)</f>
        <v>0.65215124600000007</v>
      </c>
      <c r="P1623">
        <f>+O1623*1.05</f>
        <v>0.68475880830000013</v>
      </c>
      <c r="Q1623">
        <f>+P1623/J1620</f>
        <v>0.67932421458333347</v>
      </c>
    </row>
    <row r="1624" spans="1:17">
      <c r="A1624" s="19"/>
      <c r="B1624" s="56" t="s">
        <v>1529</v>
      </c>
      <c r="C1624" s="62">
        <v>0.16669999999999999</v>
      </c>
      <c r="D1624" s="57" t="s">
        <v>190</v>
      </c>
      <c r="E1624" s="61">
        <f>Materiales!$D$64</f>
        <v>101.69491525423729</v>
      </c>
      <c r="F1624" s="61">
        <f>+E1624*0.18</f>
        <v>18.305084745762709</v>
      </c>
      <c r="G1624" s="17">
        <f>+C1624*E1624+C1624*F1624</f>
        <v>20.003999999999998</v>
      </c>
      <c r="H1624" s="18"/>
    </row>
    <row r="1625" spans="1:17">
      <c r="A1625" s="19"/>
      <c r="B1625" s="56" t="s">
        <v>1530</v>
      </c>
      <c r="C1625" s="62">
        <v>1</v>
      </c>
      <c r="D1625" s="57" t="s">
        <v>9</v>
      </c>
      <c r="E1625" s="61">
        <v>37.35</v>
      </c>
      <c r="F1625" s="61"/>
      <c r="G1625" s="17">
        <f>+C1625*E1625+C1625*F1625</f>
        <v>37.35</v>
      </c>
      <c r="H1625" s="12"/>
    </row>
    <row r="1626" spans="1:17" ht="15.75" thickBot="1">
      <c r="A1626" s="21"/>
      <c r="B1626" s="22"/>
      <c r="C1626" s="23"/>
      <c r="D1626" s="24" t="s">
        <v>111</v>
      </c>
      <c r="E1626" s="78"/>
      <c r="F1626" s="79"/>
      <c r="G1626" s="26">
        <f>SUM(G1623:G1625)</f>
        <v>76.247465000000005</v>
      </c>
      <c r="H1626" s="27" t="s">
        <v>21</v>
      </c>
    </row>
    <row r="1627" spans="1:17" ht="15.75" thickTop="1">
      <c r="B1627" s="55"/>
    </row>
    <row r="1628" spans="1:17">
      <c r="A1628" s="64"/>
      <c r="B1628" s="370" t="e">
        <f>#REF!</f>
        <v>#REF!</v>
      </c>
      <c r="C1628" s="370"/>
      <c r="D1628" s="370"/>
      <c r="E1628" s="370"/>
      <c r="F1628" s="370"/>
      <c r="G1628" s="370"/>
      <c r="H1628" s="370"/>
      <c r="J1628">
        <v>1.008</v>
      </c>
    </row>
    <row r="1629" spans="1:17">
      <c r="A1629" s="6"/>
      <c r="B1629" s="7"/>
      <c r="C1629" s="8" t="s">
        <v>98</v>
      </c>
      <c r="D1629" s="9" t="s">
        <v>39</v>
      </c>
      <c r="E1629" s="74" t="s">
        <v>99</v>
      </c>
      <c r="F1629" s="75" t="s">
        <v>100</v>
      </c>
      <c r="G1629" s="11" t="s">
        <v>101</v>
      </c>
      <c r="H1629" s="12"/>
      <c r="J1629">
        <f>1.6/0.15</f>
        <v>10.666666666666668</v>
      </c>
      <c r="K1629">
        <v>11</v>
      </c>
      <c r="L1629">
        <v>1.4</v>
      </c>
      <c r="M1629">
        <v>3.2810000000000001</v>
      </c>
      <c r="N1629">
        <v>0.66700000000000004</v>
      </c>
      <c r="O1629">
        <f>+K1629*L1629*M1629*N1629/100</f>
        <v>0.337017758</v>
      </c>
    </row>
    <row r="1630" spans="1:17">
      <c r="A1630" s="6"/>
      <c r="B1630" s="7"/>
      <c r="C1630" s="8"/>
      <c r="D1630" s="9"/>
      <c r="E1630" s="74"/>
      <c r="F1630" s="75"/>
      <c r="G1630" s="11"/>
      <c r="H1630" s="12"/>
      <c r="J1630">
        <f>1.4/0.15</f>
        <v>9.3333333333333339</v>
      </c>
      <c r="K1630">
        <v>9</v>
      </c>
      <c r="L1630">
        <v>1.6</v>
      </c>
      <c r="M1630">
        <v>3.2810000000000001</v>
      </c>
      <c r="N1630">
        <v>0.66700000000000004</v>
      </c>
      <c r="O1630">
        <f>+K1630*L1630*M1630*N1630/100</f>
        <v>0.31513348800000002</v>
      </c>
    </row>
    <row r="1631" spans="1:17">
      <c r="A1631" s="19"/>
      <c r="B1631" s="56" t="s">
        <v>1535</v>
      </c>
      <c r="C1631" s="65">
        <v>2.5000000000000001E-3</v>
      </c>
      <c r="D1631" s="57" t="s">
        <v>20</v>
      </c>
      <c r="E1631" s="61">
        <f>'Analisis Auxiliares'!$G$55</f>
        <v>8214.5499999999993</v>
      </c>
      <c r="F1631" s="61"/>
      <c r="G1631" s="17">
        <f>+C1631*E1631+C1631*F1631</f>
        <v>20.536375</v>
      </c>
      <c r="H1631" s="12"/>
      <c r="O1631">
        <f>SUM(O1629:O1630)</f>
        <v>0.65215124600000007</v>
      </c>
      <c r="P1631">
        <f>+O1631*1.05</f>
        <v>0.68475880830000013</v>
      </c>
      <c r="Q1631">
        <f>+P1631/J1628</f>
        <v>0.67932421458333347</v>
      </c>
    </row>
    <row r="1632" spans="1:17">
      <c r="A1632" s="19"/>
      <c r="B1632" s="56" t="s">
        <v>1536</v>
      </c>
      <c r="C1632" s="62">
        <v>0.33329999999999999</v>
      </c>
      <c r="D1632" s="57" t="s">
        <v>190</v>
      </c>
      <c r="E1632" s="61">
        <f>Materiales!$D$64</f>
        <v>101.69491525423729</v>
      </c>
      <c r="F1632" s="61">
        <f>+E1632*0.18</f>
        <v>18.305084745762709</v>
      </c>
      <c r="G1632" s="17">
        <f>+C1632*E1632+C1632*F1632</f>
        <v>39.995999999999995</v>
      </c>
      <c r="H1632" s="18"/>
    </row>
    <row r="1633" spans="1:17">
      <c r="A1633" s="19"/>
      <c r="B1633" s="56" t="s">
        <v>1537</v>
      </c>
      <c r="C1633" s="62">
        <v>1</v>
      </c>
      <c r="D1633" s="57" t="s">
        <v>14</v>
      </c>
      <c r="E1633" s="61">
        <v>68.430000000000007</v>
      </c>
      <c r="F1633" s="61">
        <v>0</v>
      </c>
      <c r="G1633" s="17">
        <f>+C1633*E1633+C1633*F1633</f>
        <v>68.430000000000007</v>
      </c>
      <c r="H1633" s="12"/>
    </row>
    <row r="1634" spans="1:17" ht="15.75" thickBot="1">
      <c r="A1634" s="21"/>
      <c r="B1634" s="22"/>
      <c r="C1634" s="23"/>
      <c r="D1634" s="24" t="s">
        <v>111</v>
      </c>
      <c r="E1634" s="78"/>
      <c r="F1634" s="79"/>
      <c r="G1634" s="26">
        <f>SUM(G1631:G1633)</f>
        <v>128.96237500000001</v>
      </c>
      <c r="H1634" s="27" t="s">
        <v>43</v>
      </c>
    </row>
    <row r="1635" spans="1:17" ht="15.75" thickTop="1">
      <c r="B1635" s="55"/>
    </row>
    <row r="1636" spans="1:17">
      <c r="A1636" s="64"/>
      <c r="B1636" s="370" t="e">
        <f>#REF!</f>
        <v>#REF!</v>
      </c>
      <c r="C1636" s="370"/>
      <c r="D1636" s="370"/>
      <c r="E1636" s="370"/>
      <c r="F1636" s="370"/>
      <c r="G1636" s="370"/>
      <c r="H1636" s="370"/>
      <c r="J1636">
        <v>1.008</v>
      </c>
    </row>
    <row r="1637" spans="1:17">
      <c r="A1637" s="6"/>
      <c r="B1637" s="7"/>
      <c r="C1637" s="8" t="s">
        <v>98</v>
      </c>
      <c r="D1637" s="9" t="s">
        <v>39</v>
      </c>
      <c r="E1637" s="74" t="s">
        <v>99</v>
      </c>
      <c r="F1637" s="75" t="s">
        <v>100</v>
      </c>
      <c r="G1637" s="11" t="s">
        <v>101</v>
      </c>
      <c r="H1637" s="12"/>
      <c r="J1637">
        <f>1.6/0.15</f>
        <v>10.666666666666668</v>
      </c>
      <c r="K1637">
        <v>11</v>
      </c>
      <c r="L1637">
        <v>1.4</v>
      </c>
      <c r="M1637">
        <v>3.2810000000000001</v>
      </c>
      <c r="N1637">
        <v>0.66700000000000004</v>
      </c>
      <c r="O1637">
        <f>+K1637*L1637*M1637*N1637/100</f>
        <v>0.337017758</v>
      </c>
    </row>
    <row r="1638" spans="1:17">
      <c r="A1638" s="19"/>
      <c r="B1638" s="56" t="s">
        <v>1538</v>
      </c>
      <c r="C1638" s="62">
        <v>0.08</v>
      </c>
      <c r="D1638" s="57" t="s">
        <v>153</v>
      </c>
      <c r="E1638" s="61">
        <f>500/1.18</f>
        <v>423.72881355932208</v>
      </c>
      <c r="F1638" s="61">
        <f>+E1638*0.18</f>
        <v>76.271186440677965</v>
      </c>
      <c r="G1638" s="17">
        <f t="shared" ref="G1638:G1639" si="165">+C1638*E1638+C1638*F1638</f>
        <v>40</v>
      </c>
      <c r="H1638" s="12"/>
      <c r="O1638">
        <f>SUM(O1637:O1637)</f>
        <v>0.337017758</v>
      </c>
      <c r="P1638">
        <f>+O1638*1.05</f>
        <v>0.3538686459</v>
      </c>
      <c r="Q1638">
        <f>+P1638/J1636</f>
        <v>0.35106016458333333</v>
      </c>
    </row>
    <row r="1639" spans="1:17">
      <c r="A1639" s="19"/>
      <c r="B1639" s="56" t="s">
        <v>1539</v>
      </c>
      <c r="C1639" s="62">
        <v>1</v>
      </c>
      <c r="D1639" s="57" t="s">
        <v>9</v>
      </c>
      <c r="E1639" s="61">
        <v>35</v>
      </c>
      <c r="F1639" s="61"/>
      <c r="G1639" s="17">
        <f t="shared" si="165"/>
        <v>35</v>
      </c>
      <c r="H1639" s="18"/>
    </row>
    <row r="1640" spans="1:17" ht="15.75" thickBot="1">
      <c r="A1640" s="21"/>
      <c r="B1640" s="22"/>
      <c r="C1640" s="23"/>
      <c r="D1640" s="24" t="s">
        <v>111</v>
      </c>
      <c r="E1640" s="78"/>
      <c r="F1640" s="79"/>
      <c r="G1640" s="26">
        <f>SUM(G1638:G1639)</f>
        <v>75</v>
      </c>
      <c r="H1640" s="27" t="s">
        <v>21</v>
      </c>
    </row>
    <row r="1641" spans="1:17" ht="15.75" thickTop="1">
      <c r="B1641" s="55"/>
    </row>
    <row r="1642" spans="1:17">
      <c r="A1642" s="64"/>
      <c r="B1642" s="370" t="e">
        <f>#REF!</f>
        <v>#REF!</v>
      </c>
      <c r="C1642" s="370"/>
      <c r="D1642" s="370"/>
      <c r="E1642" s="370"/>
      <c r="F1642" s="370"/>
      <c r="G1642" s="370"/>
      <c r="H1642" s="370"/>
      <c r="J1642">
        <v>1.008</v>
      </c>
    </row>
    <row r="1643" spans="1:17">
      <c r="A1643" s="6"/>
      <c r="B1643" s="7"/>
      <c r="C1643" s="8" t="s">
        <v>98</v>
      </c>
      <c r="D1643" s="9" t="s">
        <v>39</v>
      </c>
      <c r="E1643" s="74" t="s">
        <v>99</v>
      </c>
      <c r="F1643" s="75" t="s">
        <v>100</v>
      </c>
      <c r="G1643" s="11" t="s">
        <v>101</v>
      </c>
      <c r="H1643" s="12"/>
      <c r="J1643">
        <f>1.6/0.15</f>
        <v>10.666666666666668</v>
      </c>
      <c r="K1643">
        <v>11</v>
      </c>
      <c r="L1643">
        <v>1.4</v>
      </c>
      <c r="M1643">
        <v>3.2810000000000001</v>
      </c>
      <c r="N1643">
        <v>0.66700000000000004</v>
      </c>
      <c r="O1643">
        <f>+K1643*L1643*M1643*N1643/100</f>
        <v>0.337017758</v>
      </c>
    </row>
    <row r="1644" spans="1:17">
      <c r="A1644" s="19"/>
      <c r="B1644" s="56" t="s">
        <v>1538</v>
      </c>
      <c r="C1644" s="62">
        <v>0.08</v>
      </c>
      <c r="D1644" s="57" t="s">
        <v>153</v>
      </c>
      <c r="E1644" s="61">
        <f>950/1.18</f>
        <v>805.08474576271192</v>
      </c>
      <c r="F1644" s="61">
        <f>+E1644*0.18</f>
        <v>144.91525423728814</v>
      </c>
      <c r="G1644" s="17">
        <f t="shared" ref="G1644:G1646" si="166">+C1644*E1644+C1644*F1644</f>
        <v>76</v>
      </c>
      <c r="H1644" s="12"/>
      <c r="O1644">
        <f>SUM(O1643:O1643)</f>
        <v>0.337017758</v>
      </c>
      <c r="P1644">
        <f>+O1644*1.05</f>
        <v>0.3538686459</v>
      </c>
      <c r="Q1644">
        <f>+P1644/J1642</f>
        <v>0.35106016458333333</v>
      </c>
    </row>
    <row r="1645" spans="1:17">
      <c r="A1645" s="19"/>
      <c r="B1645" s="56" t="s">
        <v>1539</v>
      </c>
      <c r="C1645" s="62">
        <v>1</v>
      </c>
      <c r="D1645" s="57" t="s">
        <v>9</v>
      </c>
      <c r="E1645" s="61">
        <v>54.26</v>
      </c>
      <c r="F1645" s="61"/>
      <c r="G1645" s="17">
        <f t="shared" si="166"/>
        <v>54.26</v>
      </c>
      <c r="H1645" s="18"/>
    </row>
    <row r="1646" spans="1:17">
      <c r="A1646" s="19"/>
      <c r="B1646" s="56" t="s">
        <v>1540</v>
      </c>
      <c r="C1646" s="62">
        <v>0.2</v>
      </c>
      <c r="D1646" s="57" t="s">
        <v>47</v>
      </c>
      <c r="E1646" s="61">
        <f>SUM(G1644:G1645)</f>
        <v>130.26</v>
      </c>
      <c r="F1646" s="61"/>
      <c r="G1646" s="17">
        <f t="shared" si="166"/>
        <v>26.052</v>
      </c>
      <c r="H1646" s="18"/>
    </row>
    <row r="1647" spans="1:17" ht="15.75" thickBot="1">
      <c r="A1647" s="21"/>
      <c r="B1647" s="22"/>
      <c r="C1647" s="23"/>
      <c r="D1647" s="24" t="s">
        <v>111</v>
      </c>
      <c r="E1647" s="78"/>
      <c r="F1647" s="79"/>
      <c r="G1647" s="26">
        <f>SUM(G1644:G1646)</f>
        <v>156.31199999999998</v>
      </c>
      <c r="H1647" s="27" t="s">
        <v>21</v>
      </c>
    </row>
    <row r="1648" spans="1:17" ht="15.75" thickTop="1">
      <c r="B1648" s="55"/>
    </row>
    <row r="1649" spans="1:17">
      <c r="A1649" s="64"/>
      <c r="B1649" s="370" t="e">
        <f>#REF!</f>
        <v>#REF!</v>
      </c>
      <c r="C1649" s="370"/>
      <c r="D1649" s="370"/>
      <c r="E1649" s="370"/>
      <c r="F1649" s="370"/>
      <c r="G1649" s="370"/>
      <c r="H1649" s="370"/>
      <c r="J1649">
        <v>1.008</v>
      </c>
    </row>
    <row r="1650" spans="1:17">
      <c r="A1650" s="6"/>
      <c r="B1650" s="7"/>
      <c r="C1650" s="8" t="s">
        <v>98</v>
      </c>
      <c r="D1650" s="9" t="s">
        <v>39</v>
      </c>
      <c r="E1650" s="74" t="s">
        <v>99</v>
      </c>
      <c r="F1650" s="75" t="s">
        <v>100</v>
      </c>
      <c r="G1650" s="11" t="s">
        <v>101</v>
      </c>
      <c r="H1650" s="12"/>
      <c r="J1650">
        <f>1.6/0.15</f>
        <v>10.666666666666668</v>
      </c>
      <c r="K1650">
        <v>11</v>
      </c>
      <c r="L1650">
        <v>1.4</v>
      </c>
      <c r="M1650">
        <v>3.2810000000000001</v>
      </c>
      <c r="N1650">
        <v>0.66700000000000004</v>
      </c>
      <c r="O1650">
        <f>+K1650*L1650*M1650*N1650/100</f>
        <v>0.337017758</v>
      </c>
    </row>
    <row r="1651" spans="1:17">
      <c r="A1651" s="19"/>
      <c r="B1651" s="60" t="e">
        <f>+B1649</f>
        <v>#REF!</v>
      </c>
      <c r="C1651" s="62">
        <v>1</v>
      </c>
      <c r="D1651" s="57" t="s">
        <v>30</v>
      </c>
      <c r="E1651" s="61">
        <f>420/1.18</f>
        <v>355.93220338983053</v>
      </c>
      <c r="F1651" s="61">
        <f>+E1651*0.18</f>
        <v>64.067796610169495</v>
      </c>
      <c r="G1651" s="17">
        <f t="shared" ref="G1651" si="167">+C1651*E1651+C1651*F1651</f>
        <v>420</v>
      </c>
      <c r="H1651" s="12"/>
      <c r="I1651">
        <f>1/0.15</f>
        <v>6.666666666666667</v>
      </c>
      <c r="O1651">
        <f>SUM(O1650:O1650)</f>
        <v>0.337017758</v>
      </c>
      <c r="P1651">
        <f>+O1651*1.05</f>
        <v>0.3538686459</v>
      </c>
      <c r="Q1651">
        <f>+P1651/J1649</f>
        <v>0.35106016458333333</v>
      </c>
    </row>
    <row r="1652" spans="1:17" ht="15.75" thickBot="1">
      <c r="A1652" s="21"/>
      <c r="B1652" s="22"/>
      <c r="C1652" s="23"/>
      <c r="D1652" s="24" t="s">
        <v>111</v>
      </c>
      <c r="E1652" s="78"/>
      <c r="F1652" s="79"/>
      <c r="G1652" s="26">
        <f>SUM(G1651)</f>
        <v>420</v>
      </c>
      <c r="H1652" s="27" t="s">
        <v>1567</v>
      </c>
    </row>
    <row r="1653" spans="1:17" ht="15.75" thickTop="1">
      <c r="B1653" s="55"/>
    </row>
    <row r="1654" spans="1:17">
      <c r="A1654" s="64"/>
      <c r="B1654" s="370" t="e">
        <f>#REF!</f>
        <v>#REF!</v>
      </c>
      <c r="C1654" s="370"/>
      <c r="D1654" s="370"/>
      <c r="E1654" s="370"/>
      <c r="F1654" s="370"/>
      <c r="G1654" s="370"/>
      <c r="H1654" s="370"/>
      <c r="J1654">
        <v>1.008</v>
      </c>
    </row>
    <row r="1655" spans="1:17">
      <c r="A1655" s="6"/>
      <c r="B1655" s="7"/>
      <c r="C1655" s="8" t="s">
        <v>98</v>
      </c>
      <c r="D1655" s="9" t="s">
        <v>39</v>
      </c>
      <c r="E1655" s="74" t="s">
        <v>99</v>
      </c>
      <c r="F1655" s="75" t="s">
        <v>100</v>
      </c>
      <c r="G1655" s="11" t="s">
        <v>101</v>
      </c>
      <c r="H1655" s="12"/>
      <c r="J1655">
        <f>1.6/0.15</f>
        <v>10.666666666666668</v>
      </c>
      <c r="K1655">
        <v>11</v>
      </c>
      <c r="L1655">
        <v>1.4</v>
      </c>
      <c r="M1655">
        <v>3.2810000000000001</v>
      </c>
      <c r="N1655">
        <v>0.66700000000000004</v>
      </c>
      <c r="O1655">
        <f>+K1655*L1655*M1655*N1655/100</f>
        <v>0.337017758</v>
      </c>
    </row>
    <row r="1656" spans="1:17">
      <c r="A1656" s="19"/>
      <c r="B1656" s="60" t="e">
        <f>+B1654</f>
        <v>#REF!</v>
      </c>
      <c r="C1656" s="62">
        <v>1</v>
      </c>
      <c r="D1656" s="57" t="s">
        <v>30</v>
      </c>
      <c r="E1656" s="61">
        <f>507.54/1.18</f>
        <v>430.11864406779665</v>
      </c>
      <c r="F1656" s="61">
        <f>+E1656*0.18</f>
        <v>77.421355932203397</v>
      </c>
      <c r="G1656" s="17">
        <f t="shared" ref="G1656" si="168">+C1656*E1656+C1656*F1656</f>
        <v>507.54000000000008</v>
      </c>
      <c r="H1656" s="12"/>
      <c r="I1656">
        <f>1/0.15</f>
        <v>6.666666666666667</v>
      </c>
      <c r="O1656">
        <f>SUM(O1655:O1655)</f>
        <v>0.337017758</v>
      </c>
      <c r="P1656">
        <f>+O1656*1.05</f>
        <v>0.3538686459</v>
      </c>
      <c r="Q1656">
        <f>+P1656/J1654</f>
        <v>0.35106016458333333</v>
      </c>
    </row>
    <row r="1657" spans="1:17" ht="15.75" thickBot="1">
      <c r="A1657" s="21"/>
      <c r="B1657" s="22"/>
      <c r="C1657" s="23"/>
      <c r="D1657" s="24" t="s">
        <v>111</v>
      </c>
      <c r="E1657" s="78"/>
      <c r="F1657" s="79"/>
      <c r="G1657" s="26">
        <f>SUM(G1656)</f>
        <v>507.54000000000008</v>
      </c>
      <c r="H1657" s="27" t="s">
        <v>1567</v>
      </c>
    </row>
    <row r="1658" spans="1:17" ht="15.75" thickTop="1">
      <c r="B1658" s="55"/>
    </row>
    <row r="1659" spans="1:17">
      <c r="A1659" s="64"/>
      <c r="B1659" s="370" t="e">
        <f>#REF!</f>
        <v>#REF!</v>
      </c>
      <c r="C1659" s="370"/>
      <c r="D1659" s="370"/>
      <c r="E1659" s="370"/>
      <c r="F1659" s="370"/>
      <c r="G1659" s="370"/>
      <c r="H1659" s="370"/>
      <c r="J1659">
        <v>1.008</v>
      </c>
    </row>
    <row r="1660" spans="1:17">
      <c r="A1660" s="6"/>
      <c r="B1660" s="7"/>
      <c r="C1660" s="8" t="s">
        <v>98</v>
      </c>
      <c r="D1660" s="9" t="s">
        <v>39</v>
      </c>
      <c r="E1660" s="74" t="s">
        <v>99</v>
      </c>
      <c r="F1660" s="75" t="s">
        <v>100</v>
      </c>
      <c r="G1660" s="11" t="s">
        <v>101</v>
      </c>
      <c r="H1660" s="12"/>
      <c r="J1660">
        <f>1.6/0.15</f>
        <v>10.666666666666668</v>
      </c>
      <c r="K1660">
        <v>11</v>
      </c>
      <c r="L1660">
        <v>1.4</v>
      </c>
      <c r="M1660">
        <v>3.2810000000000001</v>
      </c>
      <c r="N1660">
        <v>0.66700000000000004</v>
      </c>
      <c r="O1660">
        <f>+K1660*L1660*M1660*N1660/100</f>
        <v>0.337017758</v>
      </c>
    </row>
    <row r="1661" spans="1:17">
      <c r="A1661" s="19"/>
      <c r="B1661" s="60" t="e">
        <f>+B1659</f>
        <v>#REF!</v>
      </c>
      <c r="C1661" s="62">
        <v>1</v>
      </c>
      <c r="D1661" s="57" t="s">
        <v>30</v>
      </c>
      <c r="E1661" s="61">
        <f>507.54/1.18</f>
        <v>430.11864406779665</v>
      </c>
      <c r="F1661" s="61">
        <f>+E1661*0.18</f>
        <v>77.421355932203397</v>
      </c>
      <c r="G1661" s="17">
        <f t="shared" ref="G1661" si="169">+C1661*E1661+C1661*F1661</f>
        <v>507.54000000000008</v>
      </c>
      <c r="H1661" s="12"/>
      <c r="I1661">
        <f>1/0.15</f>
        <v>6.666666666666667</v>
      </c>
      <c r="O1661">
        <f>SUM(O1660:O1660)</f>
        <v>0.337017758</v>
      </c>
      <c r="P1661">
        <f>+O1661*1.05</f>
        <v>0.3538686459</v>
      </c>
      <c r="Q1661">
        <f>+P1661/J1659</f>
        <v>0.35106016458333333</v>
      </c>
    </row>
    <row r="1662" spans="1:17" ht="15.75" thickBot="1">
      <c r="A1662" s="21"/>
      <c r="B1662" s="22"/>
      <c r="C1662" s="23"/>
      <c r="D1662" s="24" t="s">
        <v>111</v>
      </c>
      <c r="E1662" s="78"/>
      <c r="F1662" s="79"/>
      <c r="G1662" s="26">
        <f>SUM(G1661)</f>
        <v>507.54000000000008</v>
      </c>
      <c r="H1662" s="27" t="s">
        <v>1567</v>
      </c>
    </row>
    <row r="1663" spans="1:17" ht="15.75" thickTop="1">
      <c r="B1663" s="55"/>
    </row>
    <row r="1664" spans="1:17">
      <c r="A1664" s="64"/>
      <c r="B1664" s="370" t="e">
        <f>#REF!</f>
        <v>#REF!</v>
      </c>
      <c r="C1664" s="370"/>
      <c r="D1664" s="370"/>
      <c r="E1664" s="370"/>
      <c r="F1664" s="370"/>
      <c r="G1664" s="370"/>
      <c r="H1664" s="370"/>
      <c r="J1664">
        <v>1.008</v>
      </c>
    </row>
    <row r="1665" spans="1:17">
      <c r="A1665" s="6"/>
      <c r="B1665" s="7"/>
      <c r="C1665" s="8" t="s">
        <v>98</v>
      </c>
      <c r="D1665" s="9" t="s">
        <v>39</v>
      </c>
      <c r="E1665" s="74" t="s">
        <v>99</v>
      </c>
      <c r="F1665" s="75" t="s">
        <v>100</v>
      </c>
      <c r="G1665" s="11" t="s">
        <v>101</v>
      </c>
      <c r="H1665" s="12"/>
      <c r="J1665">
        <f>1.6/0.15</f>
        <v>10.666666666666668</v>
      </c>
      <c r="K1665">
        <v>11</v>
      </c>
      <c r="L1665">
        <v>1.4</v>
      </c>
      <c r="M1665">
        <v>3.2810000000000001</v>
      </c>
      <c r="N1665">
        <v>0.66700000000000004</v>
      </c>
      <c r="O1665">
        <f>+K1665*L1665*M1665*N1665/100</f>
        <v>0.337017758</v>
      </c>
    </row>
    <row r="1666" spans="1:17">
      <c r="A1666" s="19"/>
      <c r="B1666" s="56" t="s">
        <v>1697</v>
      </c>
      <c r="C1666" s="62">
        <v>1.2</v>
      </c>
      <c r="D1666" s="57" t="s">
        <v>40</v>
      </c>
      <c r="E1666" s="61">
        <f>Materiales!$D$466</f>
        <v>1885.593220338983</v>
      </c>
      <c r="F1666" s="61">
        <f>+E1666*0.18</f>
        <v>339.40677966101691</v>
      </c>
      <c r="G1666" s="17">
        <f t="shared" ref="G1666:G1670" si="170">+C1666*E1666+C1666*F1666</f>
        <v>2670</v>
      </c>
      <c r="H1666" s="12"/>
      <c r="I1666">
        <f>1/0.15</f>
        <v>6.666666666666667</v>
      </c>
      <c r="O1666">
        <f>SUM(O1665:O1665)</f>
        <v>0.337017758</v>
      </c>
      <c r="P1666">
        <f>+O1666*1.05</f>
        <v>0.3538686459</v>
      </c>
      <c r="Q1666">
        <f>+P1666/J1664</f>
        <v>0.35106016458333333</v>
      </c>
    </row>
    <row r="1667" spans="1:17">
      <c r="A1667" s="19"/>
      <c r="B1667" s="56" t="s">
        <v>1698</v>
      </c>
      <c r="C1667" s="62">
        <f>1/6</f>
        <v>0.16666666666666666</v>
      </c>
      <c r="D1667" s="57" t="s">
        <v>40</v>
      </c>
      <c r="E1667" s="61">
        <f>37*153/1.18</f>
        <v>4797.4576271186443</v>
      </c>
      <c r="F1667" s="61">
        <f>+E1667*0.18</f>
        <v>863.54237288135596</v>
      </c>
      <c r="G1667" s="17">
        <f t="shared" si="170"/>
        <v>943.5</v>
      </c>
      <c r="H1667" s="18"/>
      <c r="I1667">
        <f>6*1.2</f>
        <v>7.1999999999999993</v>
      </c>
      <c r="J1667">
        <f>+I1667/6</f>
        <v>1.2</v>
      </c>
    </row>
    <row r="1668" spans="1:17">
      <c r="A1668" s="19"/>
      <c r="B1668" s="56" t="s">
        <v>1699</v>
      </c>
      <c r="C1668" s="62">
        <v>1</v>
      </c>
      <c r="D1668" s="57" t="s">
        <v>12</v>
      </c>
      <c r="E1668" s="61">
        <f>SUM(G1666:G1667)*0.03/1.18</f>
        <v>91.868644067796609</v>
      </c>
      <c r="F1668" s="61">
        <f>+E1668*0.18</f>
        <v>16.536355932203389</v>
      </c>
      <c r="G1668" s="17">
        <f t="shared" si="170"/>
        <v>108.405</v>
      </c>
      <c r="H1668" s="18"/>
    </row>
    <row r="1669" spans="1:17">
      <c r="A1669" s="19"/>
      <c r="B1669" s="56" t="s">
        <v>1700</v>
      </c>
      <c r="C1669" s="62">
        <v>1</v>
      </c>
      <c r="D1669" s="57" t="s">
        <v>12</v>
      </c>
      <c r="E1669" s="61">
        <f>SUM(G1666:G1667)*0.02</f>
        <v>72.27</v>
      </c>
      <c r="F1669" s="61"/>
      <c r="G1669" s="17">
        <f t="shared" si="170"/>
        <v>72.27</v>
      </c>
      <c r="H1669" s="18"/>
    </row>
    <row r="1670" spans="1:17">
      <c r="A1670" s="19"/>
      <c r="B1670" s="56" t="s">
        <v>1701</v>
      </c>
      <c r="C1670" s="62">
        <v>1</v>
      </c>
      <c r="D1670" s="57" t="s">
        <v>78</v>
      </c>
      <c r="E1670" s="61">
        <f>SUM(G1666:G1669)*0.2</f>
        <v>758.83500000000004</v>
      </c>
      <c r="F1670" s="61"/>
      <c r="G1670" s="17">
        <f t="shared" si="170"/>
        <v>758.83500000000004</v>
      </c>
      <c r="H1670" s="18"/>
    </row>
    <row r="1671" spans="1:17" ht="15.75" thickBot="1">
      <c r="A1671" s="21"/>
      <c r="B1671" s="22"/>
      <c r="C1671" s="23"/>
      <c r="D1671" s="24" t="s">
        <v>111</v>
      </c>
      <c r="E1671" s="78"/>
      <c r="F1671" s="79"/>
      <c r="G1671" s="26">
        <f>SUM(G1666:G1670)*1.2/3.281/3.281</f>
        <v>507.53662739697796</v>
      </c>
      <c r="H1671" s="27" t="s">
        <v>1567</v>
      </c>
    </row>
    <row r="1672" spans="1:17" ht="15.75" thickTop="1">
      <c r="B1672" s="55"/>
    </row>
    <row r="1673" spans="1:17">
      <c r="A1673" s="53"/>
      <c r="B1673" s="53" t="e">
        <f>#REF!</f>
        <v>#REF!</v>
      </c>
      <c r="C1673" s="54"/>
      <c r="D1673" s="54"/>
      <c r="E1673" s="72"/>
      <c r="F1673" s="72"/>
      <c r="G1673" s="54"/>
      <c r="H1673" s="54"/>
    </row>
    <row r="1674" spans="1:17">
      <c r="B1674" s="55"/>
    </row>
    <row r="1675" spans="1:17">
      <c r="A1675" s="64"/>
      <c r="B1675" s="370" t="e">
        <f>#REF!</f>
        <v>#REF!</v>
      </c>
      <c r="C1675" s="370"/>
      <c r="D1675" s="370"/>
      <c r="E1675" s="370"/>
      <c r="F1675" s="370"/>
      <c r="G1675" s="370"/>
      <c r="H1675" s="370"/>
      <c r="J1675">
        <v>3.7499999999999999E-2</v>
      </c>
      <c r="K1675">
        <v>26.666666666666668</v>
      </c>
    </row>
    <row r="1676" spans="1:17">
      <c r="A1676" s="6"/>
      <c r="B1676" s="7"/>
      <c r="C1676" s="8" t="s">
        <v>98</v>
      </c>
      <c r="D1676" s="9" t="s">
        <v>39</v>
      </c>
      <c r="E1676" s="74" t="s">
        <v>99</v>
      </c>
      <c r="F1676" s="75" t="s">
        <v>100</v>
      </c>
      <c r="G1676" s="11" t="s">
        <v>101</v>
      </c>
      <c r="H1676" s="12"/>
      <c r="J1676">
        <f>1.6/0.15</f>
        <v>10.666666666666668</v>
      </c>
      <c r="K1676">
        <v>26.666699999999999</v>
      </c>
      <c r="L1676">
        <v>4</v>
      </c>
      <c r="M1676">
        <v>3.2810000000000001</v>
      </c>
      <c r="N1676">
        <v>0.378</v>
      </c>
      <c r="O1676">
        <f>+K1676*L1676*M1676*N1676/100</f>
        <v>1.3229008536239999</v>
      </c>
    </row>
    <row r="1677" spans="1:17">
      <c r="A1677" s="19"/>
      <c r="B1677" s="60" t="e">
        <f>+B1675</f>
        <v>#REF!</v>
      </c>
      <c r="C1677" s="62">
        <v>69.25</v>
      </c>
      <c r="D1677" s="57" t="s">
        <v>43</v>
      </c>
      <c r="E1677" s="61">
        <v>56</v>
      </c>
      <c r="F1677" s="61"/>
      <c r="G1677" s="17">
        <f>+C1677*E1677+C1677*F1677</f>
        <v>3878</v>
      </c>
      <c r="H1677" s="12"/>
      <c r="J1677">
        <f>+K1676/0.25</f>
        <v>106.66679999999999</v>
      </c>
      <c r="K1677">
        <v>107</v>
      </c>
      <c r="L1677">
        <f>0.15*2+0.25*2</f>
        <v>0.8</v>
      </c>
      <c r="M1677">
        <v>3.2810000000000001</v>
      </c>
      <c r="N1677">
        <v>0.378</v>
      </c>
      <c r="O1677">
        <f>+K1677*L1677*M1677*N1677/100</f>
        <v>1.0616266080000001</v>
      </c>
      <c r="P1677">
        <f>+O1677*1.05</f>
        <v>1.1147079384</v>
      </c>
      <c r="Q1677">
        <f>+P1677/J1675</f>
        <v>29.725545024000002</v>
      </c>
    </row>
    <row r="1678" spans="1:17" ht="15.75" thickBot="1">
      <c r="A1678" s="21"/>
      <c r="B1678" s="22"/>
      <c r="C1678" s="23"/>
      <c r="D1678" s="24" t="s">
        <v>111</v>
      </c>
      <c r="E1678" s="78"/>
      <c r="F1678" s="79"/>
      <c r="G1678" s="26">
        <f>SUM(G1677:G1677)</f>
        <v>3878</v>
      </c>
      <c r="H1678" s="27" t="str">
        <f>+D1677</f>
        <v>ml</v>
      </c>
    </row>
    <row r="1679" spans="1:17" ht="12.75" customHeight="1" thickTop="1">
      <c r="C1679" s="68"/>
    </row>
    <row r="1680" spans="1:17" ht="12.75" customHeight="1">
      <c r="A1680" s="4"/>
      <c r="B1680" s="370" t="e">
        <f>#REF!</f>
        <v>#REF!</v>
      </c>
      <c r="C1680" s="370"/>
      <c r="D1680" s="370"/>
      <c r="E1680" s="370"/>
      <c r="F1680" s="370"/>
      <c r="G1680" s="370"/>
      <c r="H1680" s="370"/>
    </row>
    <row r="1681" spans="1:8" ht="12.75" customHeight="1">
      <c r="A1681" s="6"/>
      <c r="B1681" s="7"/>
      <c r="C1681" s="69" t="s">
        <v>98</v>
      </c>
      <c r="D1681" s="9" t="s">
        <v>39</v>
      </c>
      <c r="E1681" s="74" t="s">
        <v>99</v>
      </c>
      <c r="F1681" s="75" t="s">
        <v>100</v>
      </c>
      <c r="G1681" s="11" t="s">
        <v>101</v>
      </c>
      <c r="H1681" s="12"/>
    </row>
    <row r="1682" spans="1:8" ht="12.75" customHeight="1">
      <c r="A1682" s="13"/>
      <c r="B1682" s="56" t="s">
        <v>1637</v>
      </c>
      <c r="C1682" s="70">
        <v>0.35</v>
      </c>
      <c r="D1682" s="57" t="s">
        <v>1638</v>
      </c>
      <c r="E1682" s="76">
        <v>358.33</v>
      </c>
      <c r="F1682" s="76"/>
      <c r="G1682" s="17">
        <f>+C1682*E1682+C1682*F1682</f>
        <v>125.41549999999998</v>
      </c>
      <c r="H1682" s="18"/>
    </row>
    <row r="1683" spans="1:8" ht="12.75" customHeight="1">
      <c r="A1683" s="13"/>
      <c r="B1683" s="56" t="s">
        <v>1639</v>
      </c>
      <c r="C1683" s="70">
        <f>0.35*4</f>
        <v>1.4</v>
      </c>
      <c r="D1683" s="57" t="s">
        <v>1638</v>
      </c>
      <c r="E1683" s="76">
        <v>123.44</v>
      </c>
      <c r="F1683" s="76"/>
      <c r="G1683" s="17">
        <f>+C1683*E1683+C1683*F1683</f>
        <v>172.81599999999997</v>
      </c>
      <c r="H1683" s="18"/>
    </row>
    <row r="1684" spans="1:8" ht="12.75" customHeight="1">
      <c r="A1684" s="13"/>
      <c r="B1684" s="56" t="s">
        <v>1640</v>
      </c>
      <c r="C1684" s="70">
        <v>0.02</v>
      </c>
      <c r="D1684" s="57" t="s">
        <v>47</v>
      </c>
      <c r="E1684" s="76">
        <f>SUM(G1682:G1683)</f>
        <v>298.23149999999998</v>
      </c>
      <c r="F1684" s="76"/>
      <c r="G1684" s="17">
        <f>+C1684*E1684+C1684*F1684</f>
        <v>5.9646299999999997</v>
      </c>
      <c r="H1684" s="18"/>
    </row>
    <row r="1685" spans="1:8" ht="15.75" thickBot="1">
      <c r="A1685" s="21"/>
      <c r="B1685" s="22"/>
      <c r="C1685" s="71"/>
      <c r="D1685" s="24" t="s">
        <v>111</v>
      </c>
      <c r="E1685" s="78"/>
      <c r="F1685" s="79"/>
      <c r="G1685" s="26">
        <f>SUM(G1682:G1684)</f>
        <v>304.19612999999998</v>
      </c>
      <c r="H1685" s="27" t="s">
        <v>20</v>
      </c>
    </row>
    <row r="1686" spans="1:8" ht="12.75" customHeight="1" thickTop="1">
      <c r="C1686" s="68"/>
    </row>
    <row r="1687" spans="1:8" ht="12.75" customHeight="1">
      <c r="A1687" s="4"/>
      <c r="B1687" s="370" t="e">
        <f>#REF!</f>
        <v>#REF!</v>
      </c>
      <c r="C1687" s="370"/>
      <c r="D1687" s="370"/>
      <c r="E1687" s="370"/>
      <c r="F1687" s="370"/>
      <c r="G1687" s="370"/>
      <c r="H1687" s="370"/>
    </row>
    <row r="1688" spans="1:8" ht="12.75" customHeight="1">
      <c r="A1688" s="6"/>
      <c r="B1688" s="7"/>
      <c r="C1688" s="69" t="s">
        <v>98</v>
      </c>
      <c r="D1688" s="9" t="s">
        <v>39</v>
      </c>
      <c r="E1688" s="74" t="s">
        <v>99</v>
      </c>
      <c r="F1688" s="75" t="s">
        <v>100</v>
      </c>
      <c r="G1688" s="11" t="s">
        <v>101</v>
      </c>
      <c r="H1688" s="12"/>
    </row>
    <row r="1689" spans="1:8" ht="12.75" customHeight="1">
      <c r="A1689" s="13"/>
      <c r="B1689" s="56" t="s">
        <v>1637</v>
      </c>
      <c r="C1689" s="70">
        <v>0.35</v>
      </c>
      <c r="D1689" s="57" t="s">
        <v>1638</v>
      </c>
      <c r="E1689" s="76">
        <v>358.33</v>
      </c>
      <c r="F1689" s="76"/>
      <c r="G1689" s="17">
        <f>+C1689*E1689+C1689*F1689</f>
        <v>125.41549999999998</v>
      </c>
      <c r="H1689" s="18"/>
    </row>
    <row r="1690" spans="1:8" ht="12.75" customHeight="1">
      <c r="A1690" s="13"/>
      <c r="B1690" s="56" t="s">
        <v>1639</v>
      </c>
      <c r="C1690" s="70">
        <f>0.35*4</f>
        <v>1.4</v>
      </c>
      <c r="D1690" s="57" t="s">
        <v>1638</v>
      </c>
      <c r="E1690" s="76">
        <v>123.44</v>
      </c>
      <c r="F1690" s="76"/>
      <c r="G1690" s="17">
        <f>+C1690*E1690+C1690*F1690</f>
        <v>172.81599999999997</v>
      </c>
      <c r="H1690" s="18"/>
    </row>
    <row r="1691" spans="1:8" ht="12.75" customHeight="1">
      <c r="A1691" s="13"/>
      <c r="B1691" s="56" t="s">
        <v>1640</v>
      </c>
      <c r="C1691" s="70">
        <v>0.02</v>
      </c>
      <c r="D1691" s="57" t="s">
        <v>47</v>
      </c>
      <c r="E1691" s="76">
        <f>SUM(G1689:G1690)</f>
        <v>298.23149999999998</v>
      </c>
      <c r="F1691" s="76"/>
      <c r="G1691" s="17">
        <f>+C1691*E1691+C1691*F1691</f>
        <v>5.9646299999999997</v>
      </c>
      <c r="H1691" s="18"/>
    </row>
    <row r="1692" spans="1:8" ht="15.75" thickBot="1">
      <c r="A1692" s="21"/>
      <c r="B1692" s="22"/>
      <c r="C1692" s="71"/>
      <c r="D1692" s="24" t="s">
        <v>111</v>
      </c>
      <c r="E1692" s="78"/>
      <c r="F1692" s="79"/>
      <c r="G1692" s="26">
        <f>SUM(G1689:G1691)</f>
        <v>304.19612999999998</v>
      </c>
      <c r="H1692" s="27" t="s">
        <v>20</v>
      </c>
    </row>
    <row r="1693" spans="1:8" ht="12.75" customHeight="1" thickTop="1">
      <c r="C1693" s="68"/>
    </row>
    <row r="1694" spans="1:8" ht="12.75" customHeight="1">
      <c r="A1694" s="4"/>
      <c r="B1694" s="370" t="e">
        <f>#REF!</f>
        <v>#REF!</v>
      </c>
      <c r="C1694" s="370"/>
      <c r="D1694" s="370"/>
      <c r="E1694" s="370"/>
      <c r="F1694" s="370"/>
      <c r="G1694" s="370"/>
      <c r="H1694" s="370"/>
    </row>
    <row r="1695" spans="1:8" ht="12.75" customHeight="1">
      <c r="A1695" s="6"/>
      <c r="B1695" s="7"/>
      <c r="C1695" s="69" t="s">
        <v>98</v>
      </c>
      <c r="D1695" s="9" t="s">
        <v>39</v>
      </c>
      <c r="E1695" s="74" t="s">
        <v>99</v>
      </c>
      <c r="F1695" s="75" t="s">
        <v>100</v>
      </c>
      <c r="G1695" s="11" t="s">
        <v>101</v>
      </c>
      <c r="H1695" s="12"/>
    </row>
    <row r="1696" spans="1:8" ht="12.75" customHeight="1">
      <c r="A1696" s="13"/>
      <c r="B1696" s="56" t="s">
        <v>1637</v>
      </c>
      <c r="C1696" s="70">
        <v>0.15</v>
      </c>
      <c r="D1696" s="57" t="s">
        <v>1638</v>
      </c>
      <c r="E1696" s="76">
        <v>358.33</v>
      </c>
      <c r="F1696" s="76"/>
      <c r="G1696" s="17">
        <f>+C1696*E1696+C1696*F1696</f>
        <v>53.749499999999998</v>
      </c>
      <c r="H1696" s="18"/>
    </row>
    <row r="1697" spans="1:17" ht="12.75" customHeight="1">
      <c r="A1697" s="13"/>
      <c r="B1697" s="56" t="s">
        <v>1641</v>
      </c>
      <c r="C1697" s="70">
        <v>0.3</v>
      </c>
      <c r="D1697" s="57" t="s">
        <v>1638</v>
      </c>
      <c r="E1697" s="76">
        <v>123.44</v>
      </c>
      <c r="F1697" s="76"/>
      <c r="G1697" s="17">
        <f>+C1697*E1697+C1697*F1697</f>
        <v>37.031999999999996</v>
      </c>
      <c r="H1697" s="18"/>
    </row>
    <row r="1698" spans="1:17" ht="12.75" customHeight="1">
      <c r="A1698" s="13"/>
      <c r="B1698" s="56" t="s">
        <v>1642</v>
      </c>
      <c r="C1698" s="70">
        <v>0.05</v>
      </c>
      <c r="D1698" s="57" t="s">
        <v>47</v>
      </c>
      <c r="E1698" s="76">
        <f>SUM(G1696:G1697)</f>
        <v>90.781499999999994</v>
      </c>
      <c r="F1698" s="76"/>
      <c r="G1698" s="17">
        <f>+C1698*E1698+C1698*F1698</f>
        <v>4.5390749999999995</v>
      </c>
      <c r="H1698" s="18"/>
    </row>
    <row r="1699" spans="1:17" ht="15.75" thickBot="1">
      <c r="A1699" s="21"/>
      <c r="B1699" s="22"/>
      <c r="C1699" s="71"/>
      <c r="D1699" s="24" t="s">
        <v>111</v>
      </c>
      <c r="E1699" s="78"/>
      <c r="F1699" s="79"/>
      <c r="G1699" s="26">
        <f>SUM(G1696:G1698)</f>
        <v>95.320574999999991</v>
      </c>
      <c r="H1699" s="27" t="s">
        <v>20</v>
      </c>
    </row>
    <row r="1700" spans="1:17" ht="15.75" thickTop="1">
      <c r="B1700" s="55"/>
    </row>
    <row r="1701" spans="1:17">
      <c r="A1701" s="4"/>
      <c r="B1701" s="370" t="e">
        <f>#REF!</f>
        <v>#REF!</v>
      </c>
      <c r="C1701" s="370"/>
      <c r="D1701" s="370"/>
      <c r="E1701" s="370"/>
      <c r="F1701" s="370"/>
      <c r="G1701" s="370"/>
      <c r="H1701" s="370"/>
    </row>
    <row r="1702" spans="1:17">
      <c r="A1702" s="6"/>
      <c r="B1702" s="7"/>
      <c r="C1702" s="8" t="s">
        <v>98</v>
      </c>
      <c r="D1702" s="9" t="s">
        <v>39</v>
      </c>
      <c r="E1702" s="74" t="s">
        <v>99</v>
      </c>
      <c r="F1702" s="75" t="s">
        <v>100</v>
      </c>
      <c r="G1702" s="11" t="s">
        <v>101</v>
      </c>
      <c r="H1702" s="12"/>
    </row>
    <row r="1703" spans="1:17">
      <c r="A1703" s="6"/>
      <c r="B1703" s="7"/>
      <c r="C1703" s="8"/>
      <c r="D1703" s="9"/>
      <c r="E1703" s="74"/>
      <c r="F1703" s="75"/>
      <c r="G1703" s="11"/>
      <c r="H1703" s="12"/>
    </row>
    <row r="1704" spans="1:17">
      <c r="A1704" s="19"/>
      <c r="B1704" s="56" t="s">
        <v>1505</v>
      </c>
      <c r="C1704" s="62">
        <v>1</v>
      </c>
      <c r="D1704" s="57" t="s">
        <v>1506</v>
      </c>
      <c r="E1704" s="61">
        <v>78.5</v>
      </c>
      <c r="F1704" s="61"/>
      <c r="G1704" s="17">
        <f>+C1704*E1704+C1704*F1704</f>
        <v>78.5</v>
      </c>
      <c r="H1704" s="12"/>
    </row>
    <row r="1705" spans="1:17">
      <c r="A1705" s="19"/>
      <c r="B1705" s="56" t="s">
        <v>1507</v>
      </c>
      <c r="C1705" s="62">
        <v>5</v>
      </c>
      <c r="D1705" s="57" t="s">
        <v>1506</v>
      </c>
      <c r="E1705" s="61">
        <v>24.76</v>
      </c>
      <c r="F1705" s="61"/>
      <c r="G1705" s="17">
        <f>+C1705*E1705+C1705*F1705</f>
        <v>123.80000000000001</v>
      </c>
      <c r="H1705" s="18"/>
    </row>
    <row r="1706" spans="1:17">
      <c r="A1706" s="19"/>
      <c r="B1706" s="56" t="s">
        <v>1508</v>
      </c>
      <c r="C1706" s="62">
        <v>5</v>
      </c>
      <c r="D1706" s="57" t="s">
        <v>1506</v>
      </c>
      <c r="E1706" s="61">
        <v>19.22</v>
      </c>
      <c r="F1706" s="61"/>
      <c r="G1706" s="17">
        <f>+C1706*E1706+C1706*F1706</f>
        <v>96.1</v>
      </c>
      <c r="H1706" s="12"/>
    </row>
    <row r="1707" spans="1:17">
      <c r="A1707" s="19"/>
      <c r="B1707" s="56"/>
      <c r="C1707" s="62"/>
      <c r="D1707" s="57"/>
      <c r="E1707" s="61"/>
      <c r="F1707" s="61"/>
      <c r="G1707" s="17"/>
      <c r="H1707" s="12"/>
    </row>
    <row r="1708" spans="1:17" ht="15.75" thickBot="1">
      <c r="A1708" s="21"/>
      <c r="B1708" s="22"/>
      <c r="C1708" s="23"/>
      <c r="D1708" s="24" t="s">
        <v>111</v>
      </c>
      <c r="E1708" s="78"/>
      <c r="F1708" s="79"/>
      <c r="G1708" s="26">
        <f>SUM(G1704:G1707)</f>
        <v>298.39999999999998</v>
      </c>
      <c r="H1708" s="27" t="s">
        <v>106</v>
      </c>
    </row>
    <row r="1709" spans="1:17" ht="15.75" thickTop="1">
      <c r="B1709" s="55"/>
    </row>
    <row r="1710" spans="1:17">
      <c r="A1710" s="64"/>
      <c r="B1710" s="370" t="e">
        <f>#REF!</f>
        <v>#REF!</v>
      </c>
      <c r="C1710" s="370"/>
      <c r="D1710" s="370"/>
      <c r="E1710" s="370"/>
      <c r="F1710" s="370"/>
      <c r="G1710" s="370"/>
      <c r="H1710" s="370"/>
      <c r="J1710">
        <v>0.1125</v>
      </c>
      <c r="K1710">
        <v>45</v>
      </c>
      <c r="L1710">
        <v>0.85000000000000009</v>
      </c>
      <c r="M1710">
        <v>3.2810000000000001</v>
      </c>
      <c r="N1710">
        <v>0.378</v>
      </c>
      <c r="O1710">
        <v>0.4743833850000001</v>
      </c>
    </row>
    <row r="1711" spans="1:17">
      <c r="A1711" s="6"/>
      <c r="B1711" s="7"/>
      <c r="C1711" s="8" t="s">
        <v>98</v>
      </c>
      <c r="D1711" s="9" t="s">
        <v>39</v>
      </c>
      <c r="E1711" s="74" t="s">
        <v>99</v>
      </c>
      <c r="F1711" s="75" t="s">
        <v>100</v>
      </c>
      <c r="G1711" s="11" t="s">
        <v>101</v>
      </c>
      <c r="H1711" s="12"/>
      <c r="J1711">
        <f>1/J1710</f>
        <v>8.8888888888888893</v>
      </c>
      <c r="K1711">
        <v>8.8888999999999996</v>
      </c>
      <c r="L1711">
        <v>3</v>
      </c>
      <c r="M1711">
        <v>3.2810000000000001</v>
      </c>
      <c r="N1711">
        <v>0.378</v>
      </c>
      <c r="O1711">
        <f>+K1711*L1711*M1711*N1711/100</f>
        <v>0.33072521340599997</v>
      </c>
    </row>
    <row r="1712" spans="1:17">
      <c r="A1712" s="19"/>
      <c r="B1712" s="56" t="s">
        <v>1511</v>
      </c>
      <c r="C1712" s="62">
        <v>1.05</v>
      </c>
      <c r="D1712" s="57" t="s">
        <v>1510</v>
      </c>
      <c r="E1712" s="61">
        <f>Materiales!$D$105</f>
        <v>5677.9661016949149</v>
      </c>
      <c r="F1712" s="61">
        <f>+E1712*0.18</f>
        <v>1022.0338983050847</v>
      </c>
      <c r="G1712" s="17">
        <f>+C1712*E1712+C1712*F1712</f>
        <v>7035</v>
      </c>
      <c r="H1712" s="12"/>
      <c r="J1712">
        <f>+K1711/0.2</f>
        <v>44.444499999999998</v>
      </c>
      <c r="O1712">
        <f>SUM(O1710:O1711)</f>
        <v>0.80510859840600002</v>
      </c>
      <c r="P1712">
        <f>+O1712*1.05</f>
        <v>0.84536402832630009</v>
      </c>
      <c r="Q1712">
        <f>+P1712/J1710</f>
        <v>7.5143469184560008</v>
      </c>
    </row>
    <row r="1713" spans="1:17">
      <c r="A1713" s="19"/>
      <c r="B1713" s="56" t="s">
        <v>1646</v>
      </c>
      <c r="C1713" s="62">
        <v>0.85</v>
      </c>
      <c r="D1713" s="57" t="s">
        <v>1513</v>
      </c>
      <c r="E1713" s="61">
        <f>Materiales!$D$38</f>
        <v>3305.0847457627119</v>
      </c>
      <c r="F1713" s="61">
        <f t="shared" ref="F1713:F1714" si="171">+E1713*0.18</f>
        <v>594.91525423728808</v>
      </c>
      <c r="G1713" s="17">
        <f>+C1713*E1713+C1713*F1713</f>
        <v>3315</v>
      </c>
      <c r="H1713" s="18"/>
    </row>
    <row r="1714" spans="1:17">
      <c r="A1714" s="19"/>
      <c r="B1714" s="56" t="s">
        <v>1514</v>
      </c>
      <c r="C1714" s="62">
        <f>+C1713*2</f>
        <v>1.7</v>
      </c>
      <c r="D1714" s="57" t="s">
        <v>1515</v>
      </c>
      <c r="E1714" s="61">
        <f>Materiales!$D$50</f>
        <v>93.220338983050851</v>
      </c>
      <c r="F1714" s="61">
        <f t="shared" si="171"/>
        <v>16.779661016949152</v>
      </c>
      <c r="G1714" s="17">
        <f>+C1714*E1714+C1714*F1714</f>
        <v>187</v>
      </c>
      <c r="H1714" s="12"/>
    </row>
    <row r="1715" spans="1:17">
      <c r="A1715" s="19"/>
      <c r="B1715" s="56" t="s">
        <v>1516</v>
      </c>
      <c r="C1715" s="62">
        <v>8.88889</v>
      </c>
      <c r="D1715" s="57" t="s">
        <v>43</v>
      </c>
      <c r="E1715" s="61">
        <v>107.87</v>
      </c>
      <c r="F1715" s="61"/>
      <c r="G1715" s="17">
        <f>+C1715*E1715+C1715*F1715</f>
        <v>958.8445643</v>
      </c>
      <c r="H1715" s="12"/>
    </row>
    <row r="1716" spans="1:17" ht="15.75" thickBot="1">
      <c r="A1716" s="21"/>
      <c r="B1716" s="22"/>
      <c r="C1716" s="23"/>
      <c r="D1716" s="24" t="s">
        <v>111</v>
      </c>
      <c r="E1716" s="78"/>
      <c r="F1716" s="79"/>
      <c r="G1716" s="26">
        <f>SUM(G1712:G1715)</f>
        <v>11495.8445643</v>
      </c>
      <c r="H1716" s="27" t="s">
        <v>106</v>
      </c>
    </row>
    <row r="1717" spans="1:17" ht="15.75" thickTop="1">
      <c r="B1717" s="55"/>
    </row>
    <row r="1718" spans="1:17">
      <c r="A1718" s="64"/>
      <c r="B1718" s="370" t="e">
        <f>#REF!</f>
        <v>#REF!</v>
      </c>
      <c r="C1718" s="370"/>
      <c r="D1718" s="370"/>
      <c r="E1718" s="370"/>
      <c r="F1718" s="370"/>
      <c r="G1718" s="370"/>
      <c r="H1718" s="370"/>
      <c r="J1718">
        <f>0.9*0.9*0.2</f>
        <v>0.16200000000000003</v>
      </c>
      <c r="K1718">
        <v>20</v>
      </c>
      <c r="L1718">
        <v>0.9</v>
      </c>
      <c r="M1718">
        <v>3.2810000000000001</v>
      </c>
      <c r="N1718">
        <v>0.66669999999999996</v>
      </c>
      <c r="O1718">
        <f>+K1718*L1718*M1718*N1718/100</f>
        <v>0.39373968599999998</v>
      </c>
      <c r="P1718">
        <f>+O1718/J1718</f>
        <v>2.4304918888888882</v>
      </c>
    </row>
    <row r="1719" spans="1:17">
      <c r="A1719" s="6"/>
      <c r="B1719" s="7"/>
      <c r="C1719" s="8" t="s">
        <v>98</v>
      </c>
      <c r="D1719" s="9" t="s">
        <v>39</v>
      </c>
      <c r="E1719" s="74" t="s">
        <v>99</v>
      </c>
      <c r="F1719" s="75" t="s">
        <v>100</v>
      </c>
      <c r="G1719" s="11" t="s">
        <v>101</v>
      </c>
      <c r="H1719" s="12"/>
      <c r="J1719">
        <f>1/J1718</f>
        <v>6.1728395061728385</v>
      </c>
      <c r="K1719">
        <v>8.8888999999999996</v>
      </c>
      <c r="L1719">
        <v>3</v>
      </c>
      <c r="M1719">
        <v>3.2810000000000001</v>
      </c>
      <c r="N1719">
        <v>0.378</v>
      </c>
      <c r="O1719">
        <f>+K1719*L1719*M1719*N1719/100</f>
        <v>0.33072521340599997</v>
      </c>
    </row>
    <row r="1720" spans="1:17">
      <c r="A1720" s="19"/>
      <c r="B1720" s="56" t="s">
        <v>1511</v>
      </c>
      <c r="C1720" s="62">
        <v>1.05</v>
      </c>
      <c r="D1720" s="57" t="s">
        <v>1510</v>
      </c>
      <c r="E1720" s="61">
        <f>Materiales!$D$105</f>
        <v>5677.9661016949149</v>
      </c>
      <c r="F1720" s="61">
        <f>+E1720*0.18</f>
        <v>1022.0338983050847</v>
      </c>
      <c r="G1720" s="17">
        <f>+C1720*E1720+C1720*F1720</f>
        <v>7035</v>
      </c>
      <c r="H1720" s="12"/>
      <c r="J1720">
        <f>+K1719/0.2</f>
        <v>44.444499999999998</v>
      </c>
      <c r="O1720">
        <f>SUM(O1718:O1719)</f>
        <v>0.7244648994059999</v>
      </c>
      <c r="P1720">
        <f>+O1720*1.05</f>
        <v>0.76068814437629995</v>
      </c>
      <c r="Q1720">
        <f>+P1720/J1718</f>
        <v>4.6956058294833323</v>
      </c>
    </row>
    <row r="1721" spans="1:17">
      <c r="A1721" s="19"/>
      <c r="B1721" s="56" t="s">
        <v>1645</v>
      </c>
      <c r="C1721" s="62">
        <v>2.4300000000000002</v>
      </c>
      <c r="D1721" s="57" t="s">
        <v>1513</v>
      </c>
      <c r="E1721" s="61">
        <f>Materiales!$D$38</f>
        <v>3305.0847457627119</v>
      </c>
      <c r="F1721" s="61">
        <f t="shared" ref="F1721:F1722" si="172">+E1721*0.18</f>
        <v>594.91525423728808</v>
      </c>
      <c r="G1721" s="17">
        <f>+C1721*E1721+C1721*F1721</f>
        <v>9477</v>
      </c>
      <c r="H1721" s="18"/>
    </row>
    <row r="1722" spans="1:17">
      <c r="A1722" s="19"/>
      <c r="B1722" s="56" t="s">
        <v>1514</v>
      </c>
      <c r="C1722" s="62">
        <f>+C1721*2</f>
        <v>4.8600000000000003</v>
      </c>
      <c r="D1722" s="57" t="s">
        <v>1515</v>
      </c>
      <c r="E1722" s="61">
        <f>Materiales!$D$50</f>
        <v>93.220338983050851</v>
      </c>
      <c r="F1722" s="61">
        <f t="shared" si="172"/>
        <v>16.779661016949152</v>
      </c>
      <c r="G1722" s="17">
        <f>+C1722*E1722+C1722*F1722</f>
        <v>534.6</v>
      </c>
      <c r="H1722" s="12"/>
    </row>
    <row r="1723" spans="1:17">
      <c r="A1723" s="19"/>
      <c r="B1723" s="56" t="s">
        <v>1516</v>
      </c>
      <c r="C1723" s="62">
        <f>+C1721</f>
        <v>2.4300000000000002</v>
      </c>
      <c r="D1723" s="57" t="s">
        <v>1513</v>
      </c>
      <c r="E1723" s="61">
        <v>323.73</v>
      </c>
      <c r="F1723" s="61"/>
      <c r="G1723" s="17">
        <f>+C1723*E1723+C1723*F1723</f>
        <v>786.66390000000013</v>
      </c>
      <c r="H1723" s="12"/>
    </row>
    <row r="1724" spans="1:17" ht="15.75" thickBot="1">
      <c r="A1724" s="21"/>
      <c r="B1724" s="22"/>
      <c r="C1724" s="23"/>
      <c r="D1724" s="24" t="s">
        <v>111</v>
      </c>
      <c r="E1724" s="78"/>
      <c r="F1724" s="79"/>
      <c r="G1724" s="26">
        <f>SUM(G1720:G1723)</f>
        <v>17833.263899999998</v>
      </c>
      <c r="H1724" s="27" t="s">
        <v>106</v>
      </c>
    </row>
    <row r="1725" spans="1:17" ht="15.75" thickTop="1">
      <c r="B1725" s="55"/>
    </row>
    <row r="1726" spans="1:17">
      <c r="A1726" s="64"/>
      <c r="B1726" s="370" t="e">
        <f>#REF!</f>
        <v>#REF!</v>
      </c>
      <c r="C1726" s="370"/>
      <c r="D1726" s="370"/>
      <c r="E1726" s="370"/>
      <c r="F1726" s="370"/>
      <c r="G1726" s="370"/>
      <c r="H1726" s="370"/>
      <c r="J1726">
        <f>0.25*0.25</f>
        <v>6.25E-2</v>
      </c>
      <c r="K1726">
        <f>1/J1726</f>
        <v>16</v>
      </c>
      <c r="L1726">
        <v>6</v>
      </c>
      <c r="M1726">
        <v>3.2810000000000001</v>
      </c>
      <c r="N1726">
        <v>0.66669999999999996</v>
      </c>
      <c r="O1726">
        <f>+K1726*L1726*M1726*N1726/100</f>
        <v>2.0999449919999997</v>
      </c>
      <c r="P1726">
        <f>+O1726*1.05</f>
        <v>2.2049422416</v>
      </c>
    </row>
    <row r="1727" spans="1:17">
      <c r="A1727" s="6"/>
      <c r="B1727" s="7"/>
      <c r="C1727" s="8" t="s">
        <v>98</v>
      </c>
      <c r="D1727" s="9" t="s">
        <v>39</v>
      </c>
      <c r="E1727" s="74" t="s">
        <v>99</v>
      </c>
      <c r="F1727" s="75" t="s">
        <v>100</v>
      </c>
      <c r="G1727" s="11" t="s">
        <v>101</v>
      </c>
      <c r="H1727" s="12"/>
      <c r="J1727">
        <f>1/J1726</f>
        <v>16</v>
      </c>
      <c r="K1727">
        <v>80</v>
      </c>
      <c r="L1727">
        <f>0.25*4</f>
        <v>1</v>
      </c>
      <c r="M1727">
        <v>3.2810000000000001</v>
      </c>
      <c r="N1727">
        <v>0.378</v>
      </c>
      <c r="O1727">
        <f>+K1727*L1727*M1727*N1727/100</f>
        <v>0.99217440000000012</v>
      </c>
      <c r="P1727">
        <f>+O1727*1.05</f>
        <v>1.0417831200000001</v>
      </c>
    </row>
    <row r="1728" spans="1:17">
      <c r="A1728" s="19"/>
      <c r="B1728" s="56" t="s">
        <v>1511</v>
      </c>
      <c r="C1728" s="62">
        <v>1.05</v>
      </c>
      <c r="D1728" s="57" t="s">
        <v>1510</v>
      </c>
      <c r="E1728" s="61">
        <f>Materiales!$D$105</f>
        <v>5677.9661016949149</v>
      </c>
      <c r="F1728" s="61">
        <f>+E1728*0.18</f>
        <v>1022.0338983050847</v>
      </c>
      <c r="G1728" s="17">
        <f t="shared" ref="G1728:G1733" si="173">+C1728*E1728+C1728*F1728</f>
        <v>7035</v>
      </c>
      <c r="H1728" s="12"/>
      <c r="J1728">
        <f>+K1726/0.2</f>
        <v>80</v>
      </c>
      <c r="O1728">
        <f>SUM(O1726:O1727)</f>
        <v>3.0921193919999999</v>
      </c>
      <c r="P1728">
        <f>+O1728*1.05</f>
        <v>3.2467253615999998</v>
      </c>
      <c r="Q1728">
        <f>+P1728/J1726</f>
        <v>51.947605785599997</v>
      </c>
    </row>
    <row r="1729" spans="1:17">
      <c r="A1729" s="19"/>
      <c r="B1729" s="56" t="s">
        <v>1645</v>
      </c>
      <c r="C1729" s="62">
        <v>2.2049422416</v>
      </c>
      <c r="D1729" s="57" t="s">
        <v>1513</v>
      </c>
      <c r="E1729" s="61">
        <f>Materiales!$D$38</f>
        <v>3305.0847457627119</v>
      </c>
      <c r="F1729" s="61">
        <f t="shared" ref="F1729:F1731" si="174">+E1729*0.18</f>
        <v>594.91525423728808</v>
      </c>
      <c r="G1729" s="17">
        <f t="shared" si="173"/>
        <v>8599.2747422399989</v>
      </c>
      <c r="H1729" s="18"/>
    </row>
    <row r="1730" spans="1:17">
      <c r="A1730" s="19"/>
      <c r="B1730" s="56" t="s">
        <v>1646</v>
      </c>
      <c r="C1730" s="62">
        <v>1.0417831200000001</v>
      </c>
      <c r="D1730" s="57" t="s">
        <v>1513</v>
      </c>
      <c r="E1730" s="61">
        <f>Materiales!$D$38</f>
        <v>3305.0847457627119</v>
      </c>
      <c r="F1730" s="61">
        <f t="shared" si="174"/>
        <v>594.91525423728808</v>
      </c>
      <c r="G1730" s="17">
        <f t="shared" si="173"/>
        <v>4062.9541680000002</v>
      </c>
      <c r="H1730" s="18"/>
    </row>
    <row r="1731" spans="1:17">
      <c r="A1731" s="19"/>
      <c r="B1731" s="56" t="s">
        <v>1514</v>
      </c>
      <c r="C1731" s="62">
        <f>+C1729*2+C1730*2</f>
        <v>6.4934507232000005</v>
      </c>
      <c r="D1731" s="57" t="s">
        <v>1515</v>
      </c>
      <c r="E1731" s="61">
        <f>Materiales!$D$50</f>
        <v>93.220338983050851</v>
      </c>
      <c r="F1731" s="61">
        <f t="shared" si="174"/>
        <v>16.779661016949152</v>
      </c>
      <c r="G1731" s="17">
        <f t="shared" si="173"/>
        <v>714.27957955200009</v>
      </c>
      <c r="H1731" s="12"/>
    </row>
    <row r="1732" spans="1:17">
      <c r="A1732" s="19"/>
      <c r="B1732" s="56" t="s">
        <v>1516</v>
      </c>
      <c r="C1732" s="62">
        <v>16</v>
      </c>
      <c r="D1732" s="57" t="s">
        <v>43</v>
      </c>
      <c r="E1732" s="61">
        <v>107.87</v>
      </c>
      <c r="F1732" s="61"/>
      <c r="G1732" s="17">
        <f t="shared" si="173"/>
        <v>1725.92</v>
      </c>
      <c r="H1732" s="12"/>
    </row>
    <row r="1733" spans="1:17">
      <c r="A1733" s="19"/>
      <c r="B1733" s="56" t="s">
        <v>1517</v>
      </c>
      <c r="C1733" s="62">
        <f>16*4</f>
        <v>64</v>
      </c>
      <c r="D1733" s="57" t="s">
        <v>43</v>
      </c>
      <c r="E1733" s="61">
        <v>157.5</v>
      </c>
      <c r="F1733" s="61"/>
      <c r="G1733" s="17">
        <f t="shared" si="173"/>
        <v>10080</v>
      </c>
      <c r="H1733" s="12"/>
    </row>
    <row r="1734" spans="1:17" ht="15.75" thickBot="1">
      <c r="A1734" s="21"/>
      <c r="B1734" s="22"/>
      <c r="C1734" s="23"/>
      <c r="D1734" s="24" t="s">
        <v>111</v>
      </c>
      <c r="E1734" s="78"/>
      <c r="F1734" s="79"/>
      <c r="G1734" s="26">
        <f>SUM(G1728:G1733)</f>
        <v>32217.428489792001</v>
      </c>
      <c r="H1734" s="27" t="s">
        <v>106</v>
      </c>
    </row>
    <row r="1735" spans="1:17" ht="15.75" thickTop="1">
      <c r="B1735" s="55"/>
    </row>
    <row r="1736" spans="1:17">
      <c r="A1736" s="64"/>
      <c r="B1736" s="370" t="e">
        <f>#REF!</f>
        <v>#REF!</v>
      </c>
      <c r="C1736" s="370"/>
      <c r="D1736" s="370"/>
      <c r="E1736" s="370"/>
      <c r="F1736" s="370"/>
      <c r="G1736" s="370"/>
      <c r="H1736" s="370"/>
      <c r="J1736">
        <v>0.03</v>
      </c>
      <c r="K1736">
        <v>33.333329999999997</v>
      </c>
      <c r="L1736">
        <v>4</v>
      </c>
      <c r="M1736">
        <v>3.2810000000000001</v>
      </c>
      <c r="N1736">
        <v>0.378</v>
      </c>
      <c r="O1736">
        <v>1.6536238346375998</v>
      </c>
    </row>
    <row r="1737" spans="1:17">
      <c r="A1737" s="6"/>
      <c r="B1737" s="7"/>
      <c r="C1737" s="8" t="s">
        <v>98</v>
      </c>
      <c r="D1737" s="9" t="s">
        <v>39</v>
      </c>
      <c r="E1737" s="74" t="s">
        <v>99</v>
      </c>
      <c r="F1737" s="75" t="s">
        <v>100</v>
      </c>
      <c r="G1737" s="11" t="s">
        <v>101</v>
      </c>
      <c r="H1737" s="12"/>
      <c r="J1737">
        <f>1/J1736</f>
        <v>33.333333333333336</v>
      </c>
      <c r="K1737">
        <v>167</v>
      </c>
      <c r="L1737">
        <f>0.15*2+0.2*2</f>
        <v>0.7</v>
      </c>
      <c r="M1737">
        <v>3.2810000000000001</v>
      </c>
      <c r="N1737">
        <v>0.378</v>
      </c>
      <c r="O1737">
        <f>+K1737*L1737*M1737*N1737/100</f>
        <v>1.4498148420000001</v>
      </c>
    </row>
    <row r="1738" spans="1:17">
      <c r="A1738" s="19"/>
      <c r="B1738" s="56" t="s">
        <v>1511</v>
      </c>
      <c r="C1738" s="62">
        <v>1.05</v>
      </c>
      <c r="D1738" s="57" t="s">
        <v>1510</v>
      </c>
      <c r="E1738" s="61">
        <f>Materiales!$D$105</f>
        <v>5677.9661016949149</v>
      </c>
      <c r="F1738" s="61">
        <f>+E1738*0.18</f>
        <v>1022.0338983050847</v>
      </c>
      <c r="G1738" s="17">
        <f>+C1738*E1738+C1738*F1738</f>
        <v>7035</v>
      </c>
      <c r="H1738" s="12"/>
      <c r="J1738">
        <f>+K1736/0.2</f>
        <v>166.66664999999998</v>
      </c>
      <c r="O1738">
        <f>SUM(O1736:O1737)</f>
        <v>3.1034386766375999</v>
      </c>
      <c r="P1738">
        <f>+O1738*1.07</f>
        <v>3.3206793840022319</v>
      </c>
      <c r="Q1738">
        <f>+P1738/J1736</f>
        <v>110.6893128000744</v>
      </c>
    </row>
    <row r="1739" spans="1:17">
      <c r="A1739" s="19"/>
      <c r="B1739" s="56" t="s">
        <v>1512</v>
      </c>
      <c r="C1739" s="62">
        <v>3.26</v>
      </c>
      <c r="D1739" s="57" t="s">
        <v>1513</v>
      </c>
      <c r="E1739" s="61">
        <f>Materiales!$D$38</f>
        <v>3305.0847457627119</v>
      </c>
      <c r="F1739" s="61">
        <f t="shared" ref="F1739:F1740" si="175">+E1739*0.18</f>
        <v>594.91525423728808</v>
      </c>
      <c r="G1739" s="17">
        <f>+C1739*E1739+C1739*F1739</f>
        <v>12714</v>
      </c>
      <c r="H1739" s="18"/>
    </row>
    <row r="1740" spans="1:17">
      <c r="A1740" s="19"/>
      <c r="B1740" s="56" t="s">
        <v>1514</v>
      </c>
      <c r="C1740" s="62">
        <f>+C1739*2</f>
        <v>6.52</v>
      </c>
      <c r="D1740" s="57" t="s">
        <v>1515</v>
      </c>
      <c r="E1740" s="61">
        <f>Materiales!$D$50</f>
        <v>93.220338983050851</v>
      </c>
      <c r="F1740" s="61">
        <f t="shared" si="175"/>
        <v>16.779661016949152</v>
      </c>
      <c r="G1740" s="17">
        <f>+C1740*E1740+C1740*F1740</f>
        <v>717.19999999999993</v>
      </c>
      <c r="H1740" s="12"/>
    </row>
    <row r="1741" spans="1:17">
      <c r="A1741" s="19"/>
      <c r="B1741" s="56" t="s">
        <v>1516</v>
      </c>
      <c r="C1741" s="62">
        <v>33.333300000000001</v>
      </c>
      <c r="D1741" s="57" t="s">
        <v>43</v>
      </c>
      <c r="E1741" s="61">
        <v>107.87</v>
      </c>
      <c r="F1741" s="61"/>
      <c r="G1741" s="17">
        <f>+C1741*E1741+C1741*F1741</f>
        <v>3595.6630710000004</v>
      </c>
      <c r="H1741" s="12"/>
    </row>
    <row r="1742" spans="1:17">
      <c r="A1742" s="19"/>
      <c r="B1742" s="56" t="s">
        <v>1634</v>
      </c>
      <c r="C1742" s="62">
        <v>33.333329999999997</v>
      </c>
      <c r="D1742" s="57" t="s">
        <v>43</v>
      </c>
      <c r="E1742" s="61">
        <v>210</v>
      </c>
      <c r="F1742" s="61"/>
      <c r="G1742" s="17">
        <f>+C1742*E1742+C1742*F1742</f>
        <v>6999.9992999999995</v>
      </c>
      <c r="H1742" s="12"/>
    </row>
    <row r="1743" spans="1:17" ht="15.75" thickBot="1">
      <c r="A1743" s="21"/>
      <c r="B1743" s="22"/>
      <c r="C1743" s="23"/>
      <c r="D1743" s="24" t="s">
        <v>111</v>
      </c>
      <c r="E1743" s="78"/>
      <c r="F1743" s="79"/>
      <c r="G1743" s="26">
        <f>SUM(G1738:G1742)</f>
        <v>31061.862370999999</v>
      </c>
      <c r="H1743" s="27" t="s">
        <v>106</v>
      </c>
    </row>
    <row r="1744" spans="1:17" ht="15.75" thickTop="1">
      <c r="B1744" s="55"/>
    </row>
    <row r="1745" spans="1:17">
      <c r="A1745" s="64"/>
      <c r="B1745" s="370" t="e">
        <f>#REF!</f>
        <v>#REF!</v>
      </c>
      <c r="C1745" s="370"/>
      <c r="D1745" s="370"/>
      <c r="E1745" s="370"/>
      <c r="F1745" s="370"/>
      <c r="G1745" s="370"/>
      <c r="H1745" s="370"/>
      <c r="J1745">
        <v>1.008</v>
      </c>
    </row>
    <row r="1746" spans="1:17">
      <c r="A1746" s="6"/>
      <c r="B1746" s="7"/>
      <c r="C1746" s="8" t="s">
        <v>98</v>
      </c>
      <c r="D1746" s="9" t="s">
        <v>39</v>
      </c>
      <c r="E1746" s="74" t="s">
        <v>99</v>
      </c>
      <c r="F1746" s="75" t="s">
        <v>100</v>
      </c>
      <c r="G1746" s="11" t="s">
        <v>101</v>
      </c>
      <c r="H1746" s="12"/>
      <c r="J1746">
        <f>1.6/0.15</f>
        <v>10.666666666666668</v>
      </c>
      <c r="K1746">
        <v>11</v>
      </c>
      <c r="L1746">
        <v>1.4</v>
      </c>
      <c r="M1746">
        <v>3.2810000000000001</v>
      </c>
      <c r="N1746">
        <v>0.66700000000000004</v>
      </c>
      <c r="O1746">
        <f>+K1746*L1746*M1746*N1746/100</f>
        <v>0.337017758</v>
      </c>
    </row>
    <row r="1747" spans="1:17">
      <c r="A1747" s="19"/>
      <c r="B1747" s="56" t="s">
        <v>1521</v>
      </c>
      <c r="C1747" s="62">
        <v>13</v>
      </c>
      <c r="D1747" s="57" t="s">
        <v>3</v>
      </c>
      <c r="E1747" s="61">
        <f>Materiales!$D$118</f>
        <v>40.677966101694913</v>
      </c>
      <c r="F1747" s="61">
        <f>+E1747*0.18</f>
        <v>7.3220338983050839</v>
      </c>
      <c r="G1747" s="17">
        <f>+C1747*E1747+C1747*F1747</f>
        <v>623.99999999999989</v>
      </c>
      <c r="H1747" s="12"/>
      <c r="O1747">
        <f>SUM(O1746:O1746)</f>
        <v>0.337017758</v>
      </c>
      <c r="P1747">
        <f>+O1747*1.05</f>
        <v>0.3538686459</v>
      </c>
      <c r="Q1747">
        <f>+P1747/J1745</f>
        <v>0.35106016458333333</v>
      </c>
    </row>
    <row r="1748" spans="1:17">
      <c r="A1748" s="19"/>
      <c r="B1748" s="56" t="s">
        <v>1522</v>
      </c>
      <c r="C1748" s="62">
        <v>2.3760000000000003E-2</v>
      </c>
      <c r="D1748" s="57" t="s">
        <v>20</v>
      </c>
      <c r="E1748" s="61">
        <f>'Analisis Auxiliares'!$G$11</f>
        <v>5880</v>
      </c>
      <c r="F1748" s="61"/>
      <c r="G1748" s="17">
        <f>+C1748*E1748+C1748*F1748</f>
        <v>139.70880000000002</v>
      </c>
      <c r="H1748" s="18"/>
    </row>
    <row r="1749" spans="1:17">
      <c r="A1749" s="19"/>
      <c r="B1749" s="56" t="s">
        <v>1523</v>
      </c>
      <c r="C1749" s="62">
        <v>3.1199999999999999E-2</v>
      </c>
      <c r="D1749" s="57" t="s">
        <v>20</v>
      </c>
      <c r="E1749" s="61">
        <f>'Analisis Auxiliares'!$G$44</f>
        <v>6785.5</v>
      </c>
      <c r="F1749" s="61"/>
      <c r="G1749" s="17">
        <f>+C1749*E1749+C1749*F1749</f>
        <v>211.70759999999999</v>
      </c>
      <c r="H1749" s="12"/>
    </row>
    <row r="1750" spans="1:17">
      <c r="A1750" s="19"/>
      <c r="B1750" s="56" t="s">
        <v>1524</v>
      </c>
      <c r="C1750" s="62">
        <v>2.0250000000000001E-2</v>
      </c>
      <c r="D1750" s="57" t="s">
        <v>164</v>
      </c>
      <c r="E1750" s="61">
        <f>Materiales!$D$38</f>
        <v>3305.0847457627119</v>
      </c>
      <c r="F1750" s="61">
        <f t="shared" ref="F1750:F1751" si="176">+E1750*0.18</f>
        <v>594.91525423728808</v>
      </c>
      <c r="G1750" s="17">
        <f t="shared" ref="G1750:G1753" si="177">+C1750*E1750+C1750*F1750</f>
        <v>78.975000000000009</v>
      </c>
      <c r="H1750" s="12"/>
    </row>
    <row r="1751" spans="1:17">
      <c r="A1751" s="19"/>
      <c r="B1751" s="56" t="s">
        <v>1525</v>
      </c>
      <c r="C1751" s="62">
        <v>4.0500000000000001E-2</v>
      </c>
      <c r="D1751" s="57" t="s">
        <v>178</v>
      </c>
      <c r="E1751" s="61">
        <f>110/1.18</f>
        <v>93.220338983050851</v>
      </c>
      <c r="F1751" s="61">
        <f t="shared" si="176"/>
        <v>16.779661016949152</v>
      </c>
      <c r="G1751" s="17">
        <f t="shared" si="177"/>
        <v>4.4550000000000001</v>
      </c>
      <c r="H1751" s="12"/>
    </row>
    <row r="1752" spans="1:17">
      <c r="A1752" s="19"/>
      <c r="B1752" s="56" t="s">
        <v>1526</v>
      </c>
      <c r="C1752" s="62"/>
      <c r="D1752" s="57" t="s">
        <v>9</v>
      </c>
      <c r="E1752" s="61">
        <v>35</v>
      </c>
      <c r="F1752" s="61"/>
      <c r="G1752" s="17">
        <f t="shared" si="177"/>
        <v>0</v>
      </c>
      <c r="H1752" s="12"/>
    </row>
    <row r="1753" spans="1:17">
      <c r="A1753" s="19"/>
      <c r="B1753" s="56" t="s">
        <v>1527</v>
      </c>
      <c r="C1753" s="62">
        <v>13</v>
      </c>
      <c r="D1753" s="57" t="s">
        <v>3</v>
      </c>
      <c r="E1753" s="61">
        <v>19.57</v>
      </c>
      <c r="F1753" s="61"/>
      <c r="G1753" s="17">
        <f t="shared" si="177"/>
        <v>254.41</v>
      </c>
      <c r="H1753" s="12"/>
    </row>
    <row r="1754" spans="1:17" ht="15.75" thickBot="1">
      <c r="A1754" s="21"/>
      <c r="B1754" s="22"/>
      <c r="C1754" s="23"/>
      <c r="D1754" s="24" t="s">
        <v>111</v>
      </c>
      <c r="E1754" s="78"/>
      <c r="F1754" s="79"/>
      <c r="G1754" s="26">
        <f>SUM(G1747:G1753)</f>
        <v>1313.2563999999998</v>
      </c>
      <c r="H1754" s="27" t="s">
        <v>21</v>
      </c>
    </row>
    <row r="1755" spans="1:17" ht="15.75" thickTop="1">
      <c r="B1755" s="55"/>
    </row>
    <row r="1756" spans="1:17">
      <c r="A1756" s="64"/>
      <c r="B1756" s="370" t="e">
        <f>#REF!</f>
        <v>#REF!</v>
      </c>
      <c r="C1756" s="370"/>
      <c r="D1756" s="370"/>
      <c r="E1756" s="370"/>
      <c r="F1756" s="370"/>
      <c r="G1756" s="370"/>
      <c r="H1756" s="370"/>
      <c r="J1756">
        <v>1.008</v>
      </c>
    </row>
    <row r="1757" spans="1:17">
      <c r="A1757" s="6"/>
      <c r="B1757" s="7"/>
      <c r="C1757" s="8" t="s">
        <v>98</v>
      </c>
      <c r="D1757" s="9" t="s">
        <v>39</v>
      </c>
      <c r="E1757" s="74" t="s">
        <v>99</v>
      </c>
      <c r="F1757" s="75" t="s">
        <v>100</v>
      </c>
      <c r="G1757" s="11" t="s">
        <v>101</v>
      </c>
      <c r="H1757" s="12"/>
      <c r="J1757">
        <f>1.6/0.15</f>
        <v>10.666666666666668</v>
      </c>
      <c r="K1757">
        <v>11</v>
      </c>
      <c r="L1757">
        <v>1.4</v>
      </c>
      <c r="M1757">
        <v>3.2810000000000001</v>
      </c>
      <c r="N1757">
        <v>0.66700000000000004</v>
      </c>
      <c r="O1757">
        <f>+K1757*L1757*M1757*N1757/100</f>
        <v>0.337017758</v>
      </c>
    </row>
    <row r="1758" spans="1:17">
      <c r="A1758" s="19"/>
      <c r="B1758" s="56" t="s">
        <v>1521</v>
      </c>
      <c r="C1758" s="62">
        <v>13</v>
      </c>
      <c r="D1758" s="57" t="s">
        <v>3</v>
      </c>
      <c r="E1758" s="61">
        <f>Materiales!$D$118</f>
        <v>40.677966101694913</v>
      </c>
      <c r="F1758" s="61">
        <f>+E1758*0.18</f>
        <v>7.3220338983050839</v>
      </c>
      <c r="G1758" s="17">
        <f>+C1758*E1758+C1758*F1758</f>
        <v>623.99999999999989</v>
      </c>
      <c r="H1758" s="12"/>
      <c r="O1758">
        <f>SUM(O1757:O1757)</f>
        <v>0.337017758</v>
      </c>
      <c r="P1758">
        <f>+O1758*1.05</f>
        <v>0.3538686459</v>
      </c>
      <c r="Q1758">
        <f>+P1758/J1756</f>
        <v>0.35106016458333333</v>
      </c>
    </row>
    <row r="1759" spans="1:17">
      <c r="A1759" s="19"/>
      <c r="B1759" s="56" t="s">
        <v>1522</v>
      </c>
      <c r="C1759" s="62">
        <v>2.3760000000000003E-2</v>
      </c>
      <c r="D1759" s="57" t="s">
        <v>20</v>
      </c>
      <c r="E1759" s="61">
        <f>'Analisis Auxiliares'!$G$11</f>
        <v>5880</v>
      </c>
      <c r="F1759" s="61"/>
      <c r="G1759" s="17">
        <f>+C1759*E1759+C1759*F1759</f>
        <v>139.70880000000002</v>
      </c>
      <c r="H1759" s="18"/>
    </row>
    <row r="1760" spans="1:17">
      <c r="A1760" s="19"/>
      <c r="B1760" s="56" t="s">
        <v>1523</v>
      </c>
      <c r="C1760" s="62">
        <v>3.1199999999999999E-2</v>
      </c>
      <c r="D1760" s="57" t="s">
        <v>20</v>
      </c>
      <c r="E1760" s="61">
        <f>'Analisis Auxiliares'!$G$44</f>
        <v>6785.5</v>
      </c>
      <c r="F1760" s="61"/>
      <c r="G1760" s="17">
        <f>+C1760*E1760+C1760*F1760</f>
        <v>211.70759999999999</v>
      </c>
      <c r="H1760" s="12"/>
    </row>
    <row r="1761" spans="1:17">
      <c r="A1761" s="19"/>
      <c r="B1761" s="56" t="s">
        <v>1524</v>
      </c>
      <c r="C1761" s="62">
        <v>2.0250000000000001E-2</v>
      </c>
      <c r="D1761" s="57" t="s">
        <v>164</v>
      </c>
      <c r="E1761" s="61">
        <f>Materiales!$D$38</f>
        <v>3305.0847457627119</v>
      </c>
      <c r="F1761" s="61">
        <f t="shared" ref="F1761:F1762" si="178">+E1761*0.18</f>
        <v>594.91525423728808</v>
      </c>
      <c r="G1761" s="17">
        <f t="shared" ref="G1761:G1764" si="179">+C1761*E1761+C1761*F1761</f>
        <v>78.975000000000009</v>
      </c>
      <c r="H1761" s="12"/>
    </row>
    <row r="1762" spans="1:17">
      <c r="A1762" s="19"/>
      <c r="B1762" s="56" t="s">
        <v>1525</v>
      </c>
      <c r="C1762" s="62">
        <v>4.0500000000000001E-2</v>
      </c>
      <c r="D1762" s="57" t="s">
        <v>178</v>
      </c>
      <c r="E1762" s="61">
        <f>110/1.18</f>
        <v>93.220338983050851</v>
      </c>
      <c r="F1762" s="61">
        <f t="shared" si="178"/>
        <v>16.779661016949152</v>
      </c>
      <c r="G1762" s="17">
        <f t="shared" si="179"/>
        <v>4.4550000000000001</v>
      </c>
      <c r="H1762" s="12"/>
    </row>
    <row r="1763" spans="1:17">
      <c r="A1763" s="19"/>
      <c r="B1763" s="56" t="s">
        <v>1526</v>
      </c>
      <c r="C1763" s="62">
        <v>1</v>
      </c>
      <c r="D1763" s="57" t="s">
        <v>9</v>
      </c>
      <c r="E1763" s="61">
        <v>35</v>
      </c>
      <c r="F1763" s="61"/>
      <c r="G1763" s="17">
        <f t="shared" si="179"/>
        <v>35</v>
      </c>
      <c r="H1763" s="12"/>
    </row>
    <row r="1764" spans="1:17">
      <c r="A1764" s="19"/>
      <c r="B1764" s="56" t="s">
        <v>1527</v>
      </c>
      <c r="C1764" s="62">
        <v>13</v>
      </c>
      <c r="D1764" s="57" t="s">
        <v>3</v>
      </c>
      <c r="E1764" s="61">
        <v>19.57</v>
      </c>
      <c r="F1764" s="61"/>
      <c r="G1764" s="17">
        <f t="shared" si="179"/>
        <v>254.41</v>
      </c>
      <c r="H1764" s="12"/>
    </row>
    <row r="1765" spans="1:17" ht="15.75" thickBot="1">
      <c r="A1765" s="21"/>
      <c r="B1765" s="22"/>
      <c r="C1765" s="23"/>
      <c r="D1765" s="24" t="s">
        <v>111</v>
      </c>
      <c r="E1765" s="78"/>
      <c r="F1765" s="79"/>
      <c r="G1765" s="26">
        <f>SUM(G1758:G1764)</f>
        <v>1348.2563999999998</v>
      </c>
      <c r="H1765" s="27" t="s">
        <v>21</v>
      </c>
    </row>
    <row r="1766" spans="1:17" ht="15.75" thickTop="1">
      <c r="B1766" s="55"/>
    </row>
    <row r="1767" spans="1:17">
      <c r="A1767" s="64"/>
      <c r="B1767" s="370" t="e">
        <f>#REF!</f>
        <v>#REF!</v>
      </c>
      <c r="C1767" s="370"/>
      <c r="D1767" s="370"/>
      <c r="E1767" s="370"/>
      <c r="F1767" s="370"/>
      <c r="G1767" s="370"/>
      <c r="H1767" s="370"/>
      <c r="J1767">
        <v>1.008</v>
      </c>
    </row>
    <row r="1768" spans="1:17">
      <c r="A1768" s="6"/>
      <c r="B1768" s="7"/>
      <c r="C1768" s="8" t="s">
        <v>98</v>
      </c>
      <c r="D1768" s="9" t="s">
        <v>39</v>
      </c>
      <c r="E1768" s="74" t="s">
        <v>99</v>
      </c>
      <c r="F1768" s="75" t="s">
        <v>100</v>
      </c>
      <c r="G1768" s="11" t="s">
        <v>101</v>
      </c>
      <c r="H1768" s="12"/>
      <c r="J1768">
        <f>1.6/0.15</f>
        <v>10.666666666666668</v>
      </c>
      <c r="K1768">
        <v>11</v>
      </c>
      <c r="L1768">
        <v>1.4</v>
      </c>
      <c r="M1768">
        <v>3.2810000000000001</v>
      </c>
      <c r="N1768">
        <v>0.66700000000000004</v>
      </c>
      <c r="O1768">
        <f>+K1768*L1768*M1768*N1768/100</f>
        <v>0.337017758</v>
      </c>
    </row>
    <row r="1769" spans="1:17">
      <c r="A1769" s="6"/>
      <c r="B1769" s="7"/>
      <c r="C1769" s="8"/>
      <c r="D1769" s="9"/>
      <c r="E1769" s="74"/>
      <c r="F1769" s="75"/>
      <c r="G1769" s="11"/>
      <c r="H1769" s="12"/>
      <c r="J1769">
        <f>1.4/0.15</f>
        <v>9.3333333333333339</v>
      </c>
      <c r="K1769">
        <v>9</v>
      </c>
      <c r="L1769">
        <v>1.6</v>
      </c>
      <c r="M1769">
        <v>3.2810000000000001</v>
      </c>
      <c r="N1769">
        <v>0.66700000000000004</v>
      </c>
      <c r="O1769">
        <f>+K1769*L1769*M1769*N1769/100</f>
        <v>0.31513348800000002</v>
      </c>
    </row>
    <row r="1770" spans="1:17">
      <c r="A1770" s="19"/>
      <c r="B1770" s="56" t="s">
        <v>1528</v>
      </c>
      <c r="C1770" s="62">
        <v>2.1899999999999999E-2</v>
      </c>
      <c r="D1770" s="57" t="s">
        <v>20</v>
      </c>
      <c r="E1770" s="61">
        <f>'Analisis Auxiliares'!$G$55</f>
        <v>8214.5499999999993</v>
      </c>
      <c r="F1770" s="61"/>
      <c r="G1770" s="17">
        <f>+C1770*E1770+C1770*F1770</f>
        <v>179.89864499999999</v>
      </c>
      <c r="H1770" s="12"/>
      <c r="O1770">
        <f>SUM(O1768:O1769)</f>
        <v>0.65215124600000007</v>
      </c>
      <c r="P1770">
        <f>+O1770*1.05</f>
        <v>0.68475880830000013</v>
      </c>
      <c r="Q1770">
        <f>+P1770/J1767</f>
        <v>0.67932421458333347</v>
      </c>
    </row>
    <row r="1771" spans="1:17">
      <c r="A1771" s="19"/>
      <c r="B1771" s="56" t="s">
        <v>1529</v>
      </c>
      <c r="C1771" s="62">
        <v>0.16669999999999999</v>
      </c>
      <c r="D1771" s="57" t="s">
        <v>190</v>
      </c>
      <c r="E1771" s="61">
        <f>Materiales!$D$64</f>
        <v>101.69491525423729</v>
      </c>
      <c r="F1771" s="61">
        <f>+E1771*0.18</f>
        <v>18.305084745762709</v>
      </c>
      <c r="G1771" s="17">
        <f>+C1771*E1771+C1771*F1771</f>
        <v>20.003999999999998</v>
      </c>
      <c r="H1771" s="18"/>
    </row>
    <row r="1772" spans="1:17">
      <c r="A1772" s="19"/>
      <c r="B1772" s="56" t="s">
        <v>1531</v>
      </c>
      <c r="C1772" s="62">
        <v>1</v>
      </c>
      <c r="D1772" s="57" t="s">
        <v>9</v>
      </c>
      <c r="E1772" s="61">
        <v>35</v>
      </c>
      <c r="F1772" s="61"/>
      <c r="G1772" s="17">
        <f>+C1772*E1772+C1772*F1772</f>
        <v>35</v>
      </c>
      <c r="H1772" s="18"/>
    </row>
    <row r="1773" spans="1:17">
      <c r="A1773" s="19"/>
      <c r="B1773" s="56" t="s">
        <v>1679</v>
      </c>
      <c r="C1773" s="62">
        <v>1</v>
      </c>
      <c r="D1773" s="57" t="s">
        <v>9</v>
      </c>
      <c r="E1773" s="61">
        <v>199.95</v>
      </c>
      <c r="F1773" s="61">
        <v>0</v>
      </c>
      <c r="G1773" s="17">
        <f>+C1773*E1773+C1773*F1773</f>
        <v>199.95</v>
      </c>
      <c r="H1773" s="12"/>
    </row>
    <row r="1774" spans="1:17" ht="15.75" thickBot="1">
      <c r="A1774" s="21"/>
      <c r="B1774" s="22"/>
      <c r="C1774" s="23"/>
      <c r="D1774" s="24" t="s">
        <v>111</v>
      </c>
      <c r="E1774" s="78"/>
      <c r="F1774" s="79"/>
      <c r="G1774" s="26">
        <f>SUM(G1770:G1773)</f>
        <v>434.85264499999994</v>
      </c>
      <c r="H1774" s="27" t="s">
        <v>21</v>
      </c>
    </row>
    <row r="1775" spans="1:17" ht="15.75" thickTop="1">
      <c r="B1775" s="55"/>
    </row>
    <row r="1776" spans="1:17">
      <c r="A1776" s="64"/>
      <c r="B1776" s="370" t="e">
        <f>#REF!</f>
        <v>#REF!</v>
      </c>
      <c r="C1776" s="370"/>
      <c r="D1776" s="370"/>
      <c r="E1776" s="370"/>
      <c r="F1776" s="370"/>
      <c r="G1776" s="370"/>
      <c r="H1776" s="370"/>
      <c r="J1776">
        <v>1.008</v>
      </c>
    </row>
    <row r="1777" spans="1:17">
      <c r="A1777" s="6"/>
      <c r="B1777" s="7"/>
      <c r="C1777" s="8" t="s">
        <v>98</v>
      </c>
      <c r="D1777" s="9" t="s">
        <v>39</v>
      </c>
      <c r="E1777" s="74" t="s">
        <v>99</v>
      </c>
      <c r="F1777" s="75" t="s">
        <v>100</v>
      </c>
      <c r="G1777" s="11" t="s">
        <v>101</v>
      </c>
      <c r="H1777" s="12"/>
      <c r="J1777">
        <f>1.6/0.15</f>
        <v>10.666666666666668</v>
      </c>
      <c r="K1777">
        <v>11</v>
      </c>
      <c r="L1777">
        <v>1.4</v>
      </c>
      <c r="M1777">
        <v>3.2810000000000001</v>
      </c>
      <c r="N1777">
        <v>0.66700000000000004</v>
      </c>
      <c r="O1777">
        <f>+K1777*L1777*M1777*N1777/100</f>
        <v>0.337017758</v>
      </c>
    </row>
    <row r="1778" spans="1:17">
      <c r="A1778" s="6"/>
      <c r="B1778" s="7"/>
      <c r="C1778" s="8"/>
      <c r="D1778" s="9"/>
      <c r="E1778" s="74"/>
      <c r="F1778" s="75"/>
      <c r="G1778" s="11"/>
      <c r="H1778" s="12"/>
      <c r="J1778">
        <f>1.4/0.15</f>
        <v>9.3333333333333339</v>
      </c>
      <c r="K1778">
        <v>9</v>
      </c>
      <c r="L1778">
        <v>1.6</v>
      </c>
      <c r="M1778">
        <v>3.2810000000000001</v>
      </c>
      <c r="N1778">
        <v>0.66700000000000004</v>
      </c>
      <c r="O1778">
        <f>+K1778*L1778*M1778*N1778/100</f>
        <v>0.31513348800000002</v>
      </c>
    </row>
    <row r="1779" spans="1:17">
      <c r="A1779" s="19"/>
      <c r="B1779" s="56" t="s">
        <v>1528</v>
      </c>
      <c r="C1779" s="62">
        <v>2.1899999999999999E-2</v>
      </c>
      <c r="D1779" s="57" t="s">
        <v>20</v>
      </c>
      <c r="E1779" s="61">
        <f>'Analisis Auxiliares'!$G$55</f>
        <v>8214.5499999999993</v>
      </c>
      <c r="F1779" s="61"/>
      <c r="G1779" s="17">
        <f>+C1779*E1779+C1779*F1779</f>
        <v>179.89864499999999</v>
      </c>
      <c r="H1779" s="12"/>
      <c r="O1779">
        <f>SUM(O1777:O1778)</f>
        <v>0.65215124600000007</v>
      </c>
      <c r="P1779">
        <f>+O1779*1.05</f>
        <v>0.68475880830000013</v>
      </c>
      <c r="Q1779">
        <f>+P1779/J1776</f>
        <v>0.67932421458333347</v>
      </c>
    </row>
    <row r="1780" spans="1:17">
      <c r="A1780" s="19"/>
      <c r="B1780" s="56" t="s">
        <v>1529</v>
      </c>
      <c r="C1780" s="62">
        <v>0.16669999999999999</v>
      </c>
      <c r="D1780" s="57" t="s">
        <v>190</v>
      </c>
      <c r="E1780" s="61">
        <f>Materiales!$D$64</f>
        <v>101.69491525423729</v>
      </c>
      <c r="F1780" s="61">
        <f>+E1780*0.18</f>
        <v>18.305084745762709</v>
      </c>
      <c r="G1780" s="17">
        <f>+C1780*E1780+C1780*F1780</f>
        <v>20.003999999999998</v>
      </c>
      <c r="H1780" s="18"/>
    </row>
    <row r="1781" spans="1:17">
      <c r="A1781" s="19"/>
      <c r="B1781" s="56" t="s">
        <v>1531</v>
      </c>
      <c r="C1781" s="62">
        <v>1</v>
      </c>
      <c r="D1781" s="57" t="s">
        <v>9</v>
      </c>
      <c r="E1781" s="61">
        <v>35</v>
      </c>
      <c r="F1781" s="61"/>
      <c r="G1781" s="17">
        <f>+C1781*E1781+C1781*F1781</f>
        <v>35</v>
      </c>
      <c r="H1781" s="18"/>
    </row>
    <row r="1782" spans="1:17">
      <c r="A1782" s="19"/>
      <c r="B1782" s="56" t="s">
        <v>1679</v>
      </c>
      <c r="C1782" s="62">
        <v>1</v>
      </c>
      <c r="D1782" s="57" t="s">
        <v>9</v>
      </c>
      <c r="E1782" s="61">
        <v>293.32</v>
      </c>
      <c r="F1782" s="61">
        <v>0</v>
      </c>
      <c r="G1782" s="17">
        <f>+C1782*E1782+C1782*F1782</f>
        <v>293.32</v>
      </c>
      <c r="H1782" s="12"/>
    </row>
    <row r="1783" spans="1:17" ht="15.75" thickBot="1">
      <c r="A1783" s="21"/>
      <c r="B1783" s="22"/>
      <c r="C1783" s="23"/>
      <c r="D1783" s="24" t="s">
        <v>111</v>
      </c>
      <c r="E1783" s="78"/>
      <c r="F1783" s="79"/>
      <c r="G1783" s="26">
        <f>SUM(G1779:G1782)</f>
        <v>528.22264499999994</v>
      </c>
      <c r="H1783" s="27" t="s">
        <v>21</v>
      </c>
    </row>
    <row r="1784" spans="1:17" ht="15.75" thickTop="1">
      <c r="B1784" s="55"/>
    </row>
    <row r="1785" spans="1:17">
      <c r="A1785" s="64"/>
      <c r="B1785" s="370" t="e">
        <f>#REF!</f>
        <v>#REF!</v>
      </c>
      <c r="C1785" s="370"/>
      <c r="D1785" s="370"/>
      <c r="E1785" s="370"/>
      <c r="F1785" s="370"/>
      <c r="G1785" s="370"/>
      <c r="H1785" s="370"/>
      <c r="J1785">
        <v>1.008</v>
      </c>
    </row>
    <row r="1786" spans="1:17">
      <c r="A1786" s="6"/>
      <c r="B1786" s="7"/>
      <c r="C1786" s="8" t="s">
        <v>98</v>
      </c>
      <c r="D1786" s="9" t="s">
        <v>39</v>
      </c>
      <c r="E1786" s="74" t="s">
        <v>99</v>
      </c>
      <c r="F1786" s="75" t="s">
        <v>100</v>
      </c>
      <c r="G1786" s="11" t="s">
        <v>101</v>
      </c>
      <c r="H1786" s="12"/>
      <c r="J1786">
        <f>1.6/0.15</f>
        <v>10.666666666666668</v>
      </c>
      <c r="K1786">
        <v>11</v>
      </c>
      <c r="L1786">
        <v>1.4</v>
      </c>
      <c r="M1786">
        <v>3.2810000000000001</v>
      </c>
      <c r="N1786">
        <v>0.66700000000000004</v>
      </c>
      <c r="O1786">
        <f>+K1786*L1786*M1786*N1786/100</f>
        <v>0.337017758</v>
      </c>
    </row>
    <row r="1787" spans="1:17">
      <c r="A1787" s="6"/>
      <c r="B1787" s="7"/>
      <c r="C1787" s="8"/>
      <c r="D1787" s="9"/>
      <c r="E1787" s="74"/>
      <c r="F1787" s="75"/>
      <c r="G1787" s="11"/>
      <c r="H1787" s="12"/>
      <c r="J1787">
        <f>1.4/0.15</f>
        <v>9.3333333333333339</v>
      </c>
      <c r="K1787">
        <v>9</v>
      </c>
      <c r="L1787">
        <v>1.6</v>
      </c>
      <c r="M1787">
        <v>3.2810000000000001</v>
      </c>
      <c r="N1787">
        <v>0.66700000000000004</v>
      </c>
      <c r="O1787">
        <f>+K1787*L1787*M1787*N1787/100</f>
        <v>0.31513348800000002</v>
      </c>
    </row>
    <row r="1788" spans="1:17">
      <c r="A1788" s="19"/>
      <c r="B1788" s="56" t="s">
        <v>1528</v>
      </c>
      <c r="C1788" s="62">
        <v>2.3E-3</v>
      </c>
      <c r="D1788" s="57" t="s">
        <v>20</v>
      </c>
      <c r="E1788" s="61">
        <f>'Analisis Auxiliares'!$G$55</f>
        <v>8214.5499999999993</v>
      </c>
      <c r="F1788" s="61"/>
      <c r="G1788" s="17">
        <f>+C1788*E1788+C1788*F1788</f>
        <v>18.893464999999999</v>
      </c>
      <c r="H1788" s="12"/>
      <c r="O1788">
        <f>SUM(O1786:O1787)</f>
        <v>0.65215124600000007</v>
      </c>
      <c r="P1788">
        <f>+O1788*1.05</f>
        <v>0.68475880830000013</v>
      </c>
      <c r="Q1788">
        <f>+P1788/J1785</f>
        <v>0.67932421458333347</v>
      </c>
    </row>
    <row r="1789" spans="1:17">
      <c r="A1789" s="19"/>
      <c r="B1789" s="56" t="s">
        <v>1529</v>
      </c>
      <c r="C1789" s="62">
        <v>0.16669999999999999</v>
      </c>
      <c r="D1789" s="57" t="s">
        <v>190</v>
      </c>
      <c r="E1789" s="61">
        <f>Materiales!$D$64</f>
        <v>101.69491525423729</v>
      </c>
      <c r="F1789" s="61">
        <f>+E1789*0.18</f>
        <v>18.305084745762709</v>
      </c>
      <c r="G1789" s="17">
        <f>+C1789*E1789+C1789*F1789</f>
        <v>20.003999999999998</v>
      </c>
      <c r="H1789" s="18"/>
    </row>
    <row r="1790" spans="1:17">
      <c r="A1790" s="19"/>
      <c r="B1790" s="56" t="s">
        <v>1530</v>
      </c>
      <c r="C1790" s="62">
        <v>1</v>
      </c>
      <c r="D1790" s="57" t="s">
        <v>9</v>
      </c>
      <c r="E1790" s="61">
        <v>37.35</v>
      </c>
      <c r="F1790" s="61"/>
      <c r="G1790" s="17">
        <f>+C1790*E1790+C1790*F1790</f>
        <v>37.35</v>
      </c>
      <c r="H1790" s="12"/>
    </row>
    <row r="1791" spans="1:17" ht="15.75" thickBot="1">
      <c r="A1791" s="21"/>
      <c r="B1791" s="22"/>
      <c r="C1791" s="23"/>
      <c r="D1791" s="24" t="s">
        <v>111</v>
      </c>
      <c r="E1791" s="78"/>
      <c r="F1791" s="79"/>
      <c r="G1791" s="26">
        <f>SUM(G1788:G1790)</f>
        <v>76.247465000000005</v>
      </c>
      <c r="H1791" s="27" t="s">
        <v>21</v>
      </c>
    </row>
    <row r="1792" spans="1:17" ht="15.75" thickTop="1">
      <c r="B1792" s="55"/>
    </row>
    <row r="1793" spans="1:17">
      <c r="A1793" s="64"/>
      <c r="B1793" s="370" t="e">
        <f>#REF!</f>
        <v>#REF!</v>
      </c>
      <c r="C1793" s="370"/>
      <c r="D1793" s="370"/>
      <c r="E1793" s="370"/>
      <c r="F1793" s="370"/>
      <c r="G1793" s="370"/>
      <c r="H1793" s="370"/>
      <c r="J1793">
        <v>1.008</v>
      </c>
    </row>
    <row r="1794" spans="1:17">
      <c r="A1794" s="6"/>
      <c r="B1794" s="7"/>
      <c r="C1794" s="8" t="s">
        <v>98</v>
      </c>
      <c r="D1794" s="9" t="s">
        <v>39</v>
      </c>
      <c r="E1794" s="74" t="s">
        <v>99</v>
      </c>
      <c r="F1794" s="75" t="s">
        <v>100</v>
      </c>
      <c r="G1794" s="11" t="s">
        <v>101</v>
      </c>
      <c r="H1794" s="12"/>
      <c r="J1794">
        <f>1.6/0.15</f>
        <v>10.666666666666668</v>
      </c>
      <c r="K1794">
        <v>11</v>
      </c>
      <c r="L1794">
        <v>1.4</v>
      </c>
      <c r="M1794">
        <v>3.2810000000000001</v>
      </c>
      <c r="N1794">
        <v>0.66700000000000004</v>
      </c>
      <c r="O1794">
        <f>+K1794*L1794*M1794*N1794/100</f>
        <v>0.337017758</v>
      </c>
    </row>
    <row r="1795" spans="1:17">
      <c r="A1795" s="6"/>
      <c r="B1795" s="7"/>
      <c r="C1795" s="8"/>
      <c r="D1795" s="9"/>
      <c r="E1795" s="74"/>
      <c r="F1795" s="75"/>
      <c r="G1795" s="11"/>
      <c r="H1795" s="12"/>
      <c r="J1795">
        <f>1.4/0.15</f>
        <v>9.3333333333333339</v>
      </c>
      <c r="K1795">
        <v>9</v>
      </c>
      <c r="L1795">
        <v>1.6</v>
      </c>
      <c r="M1795">
        <v>3.2810000000000001</v>
      </c>
      <c r="N1795">
        <v>0.66700000000000004</v>
      </c>
      <c r="O1795">
        <f>+K1795*L1795*M1795*N1795/100</f>
        <v>0.31513348800000002</v>
      </c>
    </row>
    <row r="1796" spans="1:17">
      <c r="A1796" s="19"/>
      <c r="B1796" s="56" t="s">
        <v>1535</v>
      </c>
      <c r="C1796" s="65">
        <v>2.5000000000000001E-3</v>
      </c>
      <c r="D1796" s="57" t="s">
        <v>20</v>
      </c>
      <c r="E1796" s="61">
        <f>'Analisis Auxiliares'!$G$55</f>
        <v>8214.5499999999993</v>
      </c>
      <c r="F1796" s="61"/>
      <c r="G1796" s="17">
        <f>+C1796*E1796+C1796*F1796</f>
        <v>20.536375</v>
      </c>
      <c r="H1796" s="12"/>
      <c r="O1796">
        <f>SUM(O1794:O1795)</f>
        <v>0.65215124600000007</v>
      </c>
      <c r="P1796">
        <f>+O1796*1.05</f>
        <v>0.68475880830000013</v>
      </c>
      <c r="Q1796">
        <f>+P1796/J1793</f>
        <v>0.67932421458333347</v>
      </c>
    </row>
    <row r="1797" spans="1:17">
      <c r="A1797" s="19"/>
      <c r="B1797" s="56" t="s">
        <v>1536</v>
      </c>
      <c r="C1797" s="62">
        <v>0.33329999999999999</v>
      </c>
      <c r="D1797" s="57" t="s">
        <v>190</v>
      </c>
      <c r="E1797" s="61">
        <f>Materiales!$D$64</f>
        <v>101.69491525423729</v>
      </c>
      <c r="F1797" s="61">
        <f>+E1797*0.18</f>
        <v>18.305084745762709</v>
      </c>
      <c r="G1797" s="17">
        <f>+C1797*E1797+C1797*F1797</f>
        <v>39.995999999999995</v>
      </c>
      <c r="H1797" s="18"/>
    </row>
    <row r="1798" spans="1:17">
      <c r="A1798" s="19"/>
      <c r="B1798" s="56" t="s">
        <v>1537</v>
      </c>
      <c r="C1798" s="62">
        <v>1</v>
      </c>
      <c r="D1798" s="57" t="s">
        <v>14</v>
      </c>
      <c r="E1798" s="61">
        <v>68.430000000000007</v>
      </c>
      <c r="F1798" s="61">
        <v>0</v>
      </c>
      <c r="G1798" s="17">
        <f>+C1798*E1798+C1798*F1798</f>
        <v>68.430000000000007</v>
      </c>
      <c r="H1798" s="12"/>
    </row>
    <row r="1799" spans="1:17" ht="15.75" thickBot="1">
      <c r="A1799" s="21"/>
      <c r="B1799" s="22"/>
      <c r="C1799" s="23"/>
      <c r="D1799" s="24" t="s">
        <v>111</v>
      </c>
      <c r="E1799" s="78"/>
      <c r="F1799" s="79"/>
      <c r="G1799" s="26">
        <f>SUM(G1796:G1798)</f>
        <v>128.96237500000001</v>
      </c>
      <c r="H1799" s="27" t="s">
        <v>43</v>
      </c>
    </row>
    <row r="1800" spans="1:17" ht="15.75" thickTop="1">
      <c r="B1800" s="55"/>
    </row>
    <row r="1801" spans="1:17">
      <c r="A1801" s="64"/>
      <c r="B1801" s="370" t="e">
        <f>#REF!</f>
        <v>#REF!</v>
      </c>
      <c r="C1801" s="370"/>
      <c r="D1801" s="370"/>
      <c r="E1801" s="370"/>
      <c r="F1801" s="370"/>
      <c r="G1801" s="370"/>
      <c r="H1801" s="370"/>
      <c r="J1801">
        <v>1.008</v>
      </c>
    </row>
    <row r="1802" spans="1:17">
      <c r="A1802" s="6"/>
      <c r="B1802" s="7"/>
      <c r="C1802" s="8" t="s">
        <v>98</v>
      </c>
      <c r="D1802" s="9" t="s">
        <v>39</v>
      </c>
      <c r="E1802" s="74" t="s">
        <v>99</v>
      </c>
      <c r="F1802" s="75" t="s">
        <v>100</v>
      </c>
      <c r="G1802" s="11" t="s">
        <v>101</v>
      </c>
      <c r="H1802" s="12"/>
      <c r="J1802">
        <f>1.6/0.15</f>
        <v>10.666666666666668</v>
      </c>
      <c r="K1802">
        <v>11</v>
      </c>
      <c r="L1802">
        <v>1.4</v>
      </c>
      <c r="M1802">
        <v>3.2810000000000001</v>
      </c>
      <c r="N1802">
        <v>0.66700000000000004</v>
      </c>
      <c r="O1802">
        <f>+K1802*L1802*M1802*N1802/100</f>
        <v>0.337017758</v>
      </c>
    </row>
    <row r="1803" spans="1:17">
      <c r="A1803" s="19"/>
      <c r="B1803" s="56" t="s">
        <v>1538</v>
      </c>
      <c r="C1803" s="62">
        <v>0.08</v>
      </c>
      <c r="D1803" s="57" t="s">
        <v>153</v>
      </c>
      <c r="E1803" s="61">
        <f>500/1.18</f>
        <v>423.72881355932208</v>
      </c>
      <c r="F1803" s="61">
        <f>+E1803*0.18</f>
        <v>76.271186440677965</v>
      </c>
      <c r="G1803" s="17">
        <f t="shared" ref="G1803:G1804" si="180">+C1803*E1803+C1803*F1803</f>
        <v>40</v>
      </c>
      <c r="H1803" s="12"/>
      <c r="O1803">
        <f>SUM(O1802:O1802)</f>
        <v>0.337017758</v>
      </c>
      <c r="P1803">
        <f>+O1803*1.05</f>
        <v>0.3538686459</v>
      </c>
      <c r="Q1803">
        <f>+P1803/J1801</f>
        <v>0.35106016458333333</v>
      </c>
    </row>
    <row r="1804" spans="1:17">
      <c r="A1804" s="19"/>
      <c r="B1804" s="56" t="s">
        <v>1539</v>
      </c>
      <c r="C1804" s="62">
        <v>1</v>
      </c>
      <c r="D1804" s="57" t="s">
        <v>9</v>
      </c>
      <c r="E1804" s="61">
        <v>35</v>
      </c>
      <c r="F1804" s="61"/>
      <c r="G1804" s="17">
        <f t="shared" si="180"/>
        <v>35</v>
      </c>
      <c r="H1804" s="18"/>
    </row>
    <row r="1805" spans="1:17" ht="15.75" thickBot="1">
      <c r="A1805" s="21"/>
      <c r="B1805" s="22"/>
      <c r="C1805" s="23"/>
      <c r="D1805" s="24" t="s">
        <v>111</v>
      </c>
      <c r="E1805" s="78"/>
      <c r="F1805" s="79"/>
      <c r="G1805" s="26">
        <f>SUM(G1803:G1804)</f>
        <v>75</v>
      </c>
      <c r="H1805" s="27" t="s">
        <v>21</v>
      </c>
    </row>
    <row r="1806" spans="1:17" ht="15.75" thickTop="1">
      <c r="B1806" s="55"/>
    </row>
    <row r="1807" spans="1:17">
      <c r="A1807" s="64"/>
      <c r="B1807" s="370" t="e">
        <f>#REF!</f>
        <v>#REF!</v>
      </c>
      <c r="C1807" s="370"/>
      <c r="D1807" s="370"/>
      <c r="E1807" s="370"/>
      <c r="F1807" s="370"/>
      <c r="G1807" s="370"/>
      <c r="H1807" s="370"/>
      <c r="J1807">
        <v>1.008</v>
      </c>
    </row>
    <row r="1808" spans="1:17">
      <c r="A1808" s="6"/>
      <c r="B1808" s="7"/>
      <c r="C1808" s="8" t="s">
        <v>98</v>
      </c>
      <c r="D1808" s="9" t="s">
        <v>39</v>
      </c>
      <c r="E1808" s="74" t="s">
        <v>99</v>
      </c>
      <c r="F1808" s="75" t="s">
        <v>100</v>
      </c>
      <c r="G1808" s="11" t="s">
        <v>101</v>
      </c>
      <c r="H1808" s="12"/>
      <c r="J1808">
        <f>1.6/0.15</f>
        <v>10.666666666666668</v>
      </c>
      <c r="K1808">
        <v>11</v>
      </c>
      <c r="L1808">
        <v>1.4</v>
      </c>
      <c r="M1808">
        <v>3.2810000000000001</v>
      </c>
      <c r="N1808">
        <v>0.66700000000000004</v>
      </c>
      <c r="O1808">
        <f>+K1808*L1808*M1808*N1808/100</f>
        <v>0.337017758</v>
      </c>
    </row>
    <row r="1809" spans="1:17">
      <c r="A1809" s="19"/>
      <c r="B1809" s="56" t="s">
        <v>1538</v>
      </c>
      <c r="C1809" s="62">
        <v>0.08</v>
      </c>
      <c r="D1809" s="57" t="s">
        <v>153</v>
      </c>
      <c r="E1809" s="61">
        <f>950/1.18</f>
        <v>805.08474576271192</v>
      </c>
      <c r="F1809" s="61">
        <f>+E1809*0.18</f>
        <v>144.91525423728814</v>
      </c>
      <c r="G1809" s="17">
        <f t="shared" ref="G1809:G1811" si="181">+C1809*E1809+C1809*F1809</f>
        <v>76</v>
      </c>
      <c r="H1809" s="12"/>
      <c r="O1809">
        <f>SUM(O1808:O1808)</f>
        <v>0.337017758</v>
      </c>
      <c r="P1809">
        <f>+O1809*1.05</f>
        <v>0.3538686459</v>
      </c>
      <c r="Q1809">
        <f>+P1809/J1807</f>
        <v>0.35106016458333333</v>
      </c>
    </row>
    <row r="1810" spans="1:17">
      <c r="A1810" s="19"/>
      <c r="B1810" s="56" t="s">
        <v>1539</v>
      </c>
      <c r="C1810" s="62">
        <v>1</v>
      </c>
      <c r="D1810" s="57" t="s">
        <v>9</v>
      </c>
      <c r="E1810" s="61">
        <v>54.26</v>
      </c>
      <c r="F1810" s="61"/>
      <c r="G1810" s="17">
        <f t="shared" si="181"/>
        <v>54.26</v>
      </c>
      <c r="H1810" s="18"/>
    </row>
    <row r="1811" spans="1:17">
      <c r="A1811" s="19"/>
      <c r="B1811" s="56" t="s">
        <v>1540</v>
      </c>
      <c r="C1811" s="62">
        <v>0.2</v>
      </c>
      <c r="D1811" s="57" t="s">
        <v>47</v>
      </c>
      <c r="E1811" s="61">
        <f>SUM(G1809:G1810)</f>
        <v>130.26</v>
      </c>
      <c r="F1811" s="61"/>
      <c r="G1811" s="17">
        <f t="shared" si="181"/>
        <v>26.052</v>
      </c>
      <c r="H1811" s="18"/>
    </row>
    <row r="1812" spans="1:17" ht="15.75" thickBot="1">
      <c r="A1812" s="21"/>
      <c r="B1812" s="22"/>
      <c r="C1812" s="23"/>
      <c r="D1812" s="24" t="s">
        <v>111</v>
      </c>
      <c r="E1812" s="78"/>
      <c r="F1812" s="79"/>
      <c r="G1812" s="26">
        <f>SUM(G1809:G1811)</f>
        <v>156.31199999999998</v>
      </c>
      <c r="H1812" s="27" t="s">
        <v>21</v>
      </c>
    </row>
    <row r="1813" spans="1:17" ht="15.75" thickTop="1">
      <c r="B1813" s="55"/>
    </row>
    <row r="1814" spans="1:17">
      <c r="A1814" s="64"/>
      <c r="B1814" s="370" t="e">
        <f>#REF!</f>
        <v>#REF!</v>
      </c>
      <c r="C1814" s="370"/>
      <c r="D1814" s="370"/>
      <c r="E1814" s="370"/>
      <c r="F1814" s="370"/>
      <c r="G1814" s="370"/>
      <c r="H1814" s="370"/>
      <c r="J1814">
        <v>1.008</v>
      </c>
    </row>
    <row r="1815" spans="1:17">
      <c r="A1815" s="6"/>
      <c r="B1815" s="7"/>
      <c r="C1815" s="8" t="s">
        <v>98</v>
      </c>
      <c r="D1815" s="9" t="s">
        <v>39</v>
      </c>
      <c r="E1815" s="74" t="s">
        <v>99</v>
      </c>
      <c r="F1815" s="75" t="s">
        <v>100</v>
      </c>
      <c r="G1815" s="11" t="s">
        <v>101</v>
      </c>
      <c r="H1815" s="12"/>
      <c r="J1815">
        <f>1.6/0.15</f>
        <v>10.666666666666668</v>
      </c>
      <c r="K1815">
        <v>11</v>
      </c>
      <c r="L1815">
        <v>1.4</v>
      </c>
      <c r="M1815">
        <v>3.2810000000000001</v>
      </c>
      <c r="N1815">
        <v>0.66700000000000004</v>
      </c>
      <c r="O1815">
        <f>+K1815*L1815*M1815*N1815/100</f>
        <v>0.337017758</v>
      </c>
    </row>
    <row r="1816" spans="1:17">
      <c r="A1816" s="19"/>
      <c r="B1816" s="56" t="s">
        <v>1697</v>
      </c>
      <c r="C1816" s="62">
        <v>1.2</v>
      </c>
      <c r="D1816" s="57" t="s">
        <v>40</v>
      </c>
      <c r="E1816" s="61">
        <f>Materiales!$D$466</f>
        <v>1885.593220338983</v>
      </c>
      <c r="F1816" s="61">
        <f>+E1816*0.18</f>
        <v>339.40677966101691</v>
      </c>
      <c r="G1816" s="17">
        <f t="shared" ref="G1816:G1820" si="182">+C1816*E1816+C1816*F1816</f>
        <v>2670</v>
      </c>
      <c r="H1816" s="12"/>
      <c r="I1816">
        <f>1/0.15</f>
        <v>6.666666666666667</v>
      </c>
      <c r="O1816">
        <f>SUM(O1815:O1815)</f>
        <v>0.337017758</v>
      </c>
      <c r="P1816">
        <f>+O1816*1.05</f>
        <v>0.3538686459</v>
      </c>
      <c r="Q1816">
        <f>+P1816/J1814</f>
        <v>0.35106016458333333</v>
      </c>
    </row>
    <row r="1817" spans="1:17">
      <c r="A1817" s="19"/>
      <c r="B1817" s="56" t="s">
        <v>1698</v>
      </c>
      <c r="C1817" s="62">
        <f>1/6</f>
        <v>0.16666666666666666</v>
      </c>
      <c r="D1817" s="57" t="s">
        <v>40</v>
      </c>
      <c r="E1817" s="61">
        <f>37*153/1.18</f>
        <v>4797.4576271186443</v>
      </c>
      <c r="F1817" s="61">
        <f>+E1817*0.18</f>
        <v>863.54237288135596</v>
      </c>
      <c r="G1817" s="17">
        <f t="shared" si="182"/>
        <v>943.5</v>
      </c>
      <c r="H1817" s="18"/>
      <c r="I1817">
        <f>6*1.2</f>
        <v>7.1999999999999993</v>
      </c>
      <c r="J1817">
        <f>+I1817/6</f>
        <v>1.2</v>
      </c>
    </row>
    <row r="1818" spans="1:17">
      <c r="A1818" s="19"/>
      <c r="B1818" s="56" t="s">
        <v>1699</v>
      </c>
      <c r="C1818" s="62">
        <v>1</v>
      </c>
      <c r="D1818" s="57" t="s">
        <v>12</v>
      </c>
      <c r="E1818" s="61">
        <f>SUM(G1816:G1817)*0.03/1.18</f>
        <v>91.868644067796609</v>
      </c>
      <c r="F1818" s="61">
        <f>+E1818*0.18</f>
        <v>16.536355932203389</v>
      </c>
      <c r="G1818" s="17">
        <f t="shared" si="182"/>
        <v>108.405</v>
      </c>
      <c r="H1818" s="18"/>
    </row>
    <row r="1819" spans="1:17">
      <c r="A1819" s="19"/>
      <c r="B1819" s="56" t="s">
        <v>1700</v>
      </c>
      <c r="C1819" s="62">
        <v>1</v>
      </c>
      <c r="D1819" s="57" t="s">
        <v>12</v>
      </c>
      <c r="E1819" s="61">
        <f>SUM(G1816:G1817)*0.02</f>
        <v>72.27</v>
      </c>
      <c r="F1819" s="61"/>
      <c r="G1819" s="17">
        <f t="shared" si="182"/>
        <v>72.27</v>
      </c>
      <c r="H1819" s="18"/>
    </row>
    <row r="1820" spans="1:17">
      <c r="A1820" s="19"/>
      <c r="B1820" s="56" t="s">
        <v>1701</v>
      </c>
      <c r="C1820" s="62">
        <v>1</v>
      </c>
      <c r="D1820" s="57" t="s">
        <v>78</v>
      </c>
      <c r="E1820" s="61">
        <f>SUM(G1816:G1819)*0.2</f>
        <v>758.83500000000004</v>
      </c>
      <c r="F1820" s="61"/>
      <c r="G1820" s="17">
        <f t="shared" si="182"/>
        <v>758.83500000000004</v>
      </c>
      <c r="H1820" s="18"/>
    </row>
    <row r="1821" spans="1:17" ht="15.75" thickBot="1">
      <c r="A1821" s="21"/>
      <c r="B1821" s="22"/>
      <c r="C1821" s="23"/>
      <c r="D1821" s="24" t="s">
        <v>111</v>
      </c>
      <c r="E1821" s="78"/>
      <c r="F1821" s="79"/>
      <c r="G1821" s="26">
        <f>SUM(G1816:G1820)*1.2/3.281/3.281</f>
        <v>507.53662739697796</v>
      </c>
      <c r="H1821" s="27" t="s">
        <v>1567</v>
      </c>
      <c r="J1821">
        <v>5500</v>
      </c>
    </row>
    <row r="1822" spans="1:17" ht="15.75" thickTop="1">
      <c r="B1822" s="55"/>
      <c r="J1822">
        <v>1500</v>
      </c>
    </row>
    <row r="1823" spans="1:17">
      <c r="A1823" s="53"/>
      <c r="B1823" s="53" t="e">
        <f>#REF!</f>
        <v>#REF!</v>
      </c>
      <c r="C1823" s="54"/>
      <c r="D1823" s="54"/>
      <c r="E1823" s="72"/>
      <c r="F1823" s="72"/>
      <c r="G1823" s="54"/>
      <c r="H1823" s="54"/>
      <c r="J1823">
        <v>5500</v>
      </c>
    </row>
    <row r="1824" spans="1:17">
      <c r="B1824" s="55"/>
      <c r="J1824">
        <v>2500</v>
      </c>
    </row>
    <row r="1825" spans="1:17">
      <c r="A1825" s="64"/>
      <c r="B1825" s="370" t="e">
        <f>#REF!</f>
        <v>#REF!</v>
      </c>
      <c r="C1825" s="370"/>
      <c r="D1825" s="370"/>
      <c r="E1825" s="370"/>
      <c r="F1825" s="370"/>
      <c r="G1825" s="370"/>
      <c r="H1825" s="370"/>
      <c r="J1825">
        <f>SUM(J1821:J1824)</f>
        <v>15000</v>
      </c>
      <c r="K1825">
        <f>+J1825/11</f>
        <v>1363.6363636363637</v>
      </c>
    </row>
    <row r="1826" spans="1:17">
      <c r="A1826" s="6"/>
      <c r="B1826" s="7"/>
      <c r="C1826" s="8" t="s">
        <v>98</v>
      </c>
      <c r="D1826" s="9" t="s">
        <v>39</v>
      </c>
      <c r="E1826" s="74" t="s">
        <v>99</v>
      </c>
      <c r="F1826" s="75" t="s">
        <v>100</v>
      </c>
      <c r="G1826" s="11" t="s">
        <v>101</v>
      </c>
      <c r="H1826" s="12"/>
      <c r="J1826">
        <f>1.6/0.15</f>
        <v>10.666666666666668</v>
      </c>
      <c r="K1826">
        <v>11</v>
      </c>
      <c r="L1826">
        <v>1.4</v>
      </c>
      <c r="M1826">
        <v>3.2810000000000001</v>
      </c>
      <c r="N1826">
        <v>0.66700000000000004</v>
      </c>
      <c r="O1826">
        <f>+K1826*L1826*M1826*N1826/100</f>
        <v>0.337017758</v>
      </c>
    </row>
    <row r="1827" spans="1:17">
      <c r="A1827" s="6"/>
      <c r="B1827" s="7"/>
      <c r="C1827" s="8"/>
      <c r="D1827" s="9"/>
      <c r="E1827" s="74"/>
      <c r="F1827" s="75"/>
      <c r="G1827" s="11"/>
      <c r="H1827" s="12"/>
      <c r="J1827">
        <f>1.4/0.15</f>
        <v>9.3333333333333339</v>
      </c>
      <c r="K1827">
        <v>9</v>
      </c>
      <c r="L1827">
        <v>1.6</v>
      </c>
      <c r="M1827">
        <v>3.2810000000000001</v>
      </c>
      <c r="N1827">
        <v>0.66700000000000004</v>
      </c>
      <c r="O1827">
        <f>+K1827*L1827*M1827*N1827/100</f>
        <v>0.31513348800000002</v>
      </c>
    </row>
    <row r="1828" spans="1:17">
      <c r="A1828" s="19"/>
      <c r="B1828" s="56" t="s">
        <v>1872</v>
      </c>
      <c r="C1828" s="65">
        <v>1</v>
      </c>
      <c r="D1828" s="57" t="s">
        <v>9</v>
      </c>
      <c r="E1828" s="61">
        <f>Materiales!$D$1418</f>
        <v>131.35593220338984</v>
      </c>
      <c r="F1828" s="61">
        <f>+E1828*0.18</f>
        <v>23.64406779661017</v>
      </c>
      <c r="G1828" s="17">
        <f>+C1828*E1828+C1828*F1828</f>
        <v>155</v>
      </c>
      <c r="H1828" s="12"/>
      <c r="O1828">
        <f>SUM(O1826:O1827)</f>
        <v>0.65215124600000007</v>
      </c>
      <c r="P1828">
        <f>+O1828*1.05</f>
        <v>0.68475880830000013</v>
      </c>
      <c r="Q1828">
        <f>+P1828/J1825</f>
        <v>4.5650587220000007E-5</v>
      </c>
    </row>
    <row r="1829" spans="1:17" ht="15.75" thickBot="1">
      <c r="A1829" s="21"/>
      <c r="B1829" s="22"/>
      <c r="C1829" s="23"/>
      <c r="D1829" s="24" t="s">
        <v>111</v>
      </c>
      <c r="E1829" s="78"/>
      <c r="F1829" s="79"/>
      <c r="G1829" s="26">
        <f>SUM(G1828:G1828)</f>
        <v>155</v>
      </c>
      <c r="H1829" s="27" t="s">
        <v>21</v>
      </c>
    </row>
    <row r="1830" spans="1:17" ht="15.75" thickTop="1">
      <c r="B1830" s="55"/>
    </row>
    <row r="1831" spans="1:17">
      <c r="A1831" s="64"/>
      <c r="B1831" s="370" t="e">
        <f>#REF!</f>
        <v>#REF!</v>
      </c>
      <c r="C1831" s="370"/>
      <c r="D1831" s="370"/>
      <c r="E1831" s="370"/>
      <c r="F1831" s="370"/>
      <c r="G1831" s="370"/>
      <c r="H1831" s="370"/>
      <c r="J1831">
        <v>1.008</v>
      </c>
    </row>
    <row r="1832" spans="1:17">
      <c r="A1832" s="6"/>
      <c r="B1832" s="7"/>
      <c r="C1832" s="8" t="s">
        <v>98</v>
      </c>
      <c r="D1832" s="9" t="s">
        <v>39</v>
      </c>
      <c r="E1832" s="74" t="s">
        <v>99</v>
      </c>
      <c r="F1832" s="75" t="s">
        <v>100</v>
      </c>
      <c r="G1832" s="11" t="s">
        <v>101</v>
      </c>
      <c r="H1832" s="12"/>
      <c r="J1832">
        <f>1.6/0.15</f>
        <v>10.666666666666668</v>
      </c>
      <c r="K1832">
        <v>11</v>
      </c>
      <c r="L1832">
        <v>1.4</v>
      </c>
      <c r="M1832">
        <v>3.2810000000000001</v>
      </c>
      <c r="N1832">
        <v>0.66700000000000004</v>
      </c>
      <c r="O1832">
        <f>+K1832*L1832*M1832*N1832/100</f>
        <v>0.337017758</v>
      </c>
    </row>
    <row r="1833" spans="1:17">
      <c r="A1833" s="6"/>
      <c r="B1833" s="7"/>
      <c r="C1833" s="8"/>
      <c r="D1833" s="9"/>
      <c r="E1833" s="74"/>
      <c r="F1833" s="75"/>
      <c r="G1833" s="11"/>
      <c r="H1833" s="12"/>
      <c r="J1833">
        <f>1.4/0.15</f>
        <v>9.3333333333333339</v>
      </c>
      <c r="K1833">
        <v>9</v>
      </c>
      <c r="L1833">
        <v>1.6</v>
      </c>
      <c r="M1833">
        <v>3.2810000000000001</v>
      </c>
      <c r="N1833">
        <v>0.66700000000000004</v>
      </c>
      <c r="O1833">
        <f>+K1833*L1833*M1833*N1833/100</f>
        <v>0.31513348800000002</v>
      </c>
    </row>
    <row r="1834" spans="1:17">
      <c r="A1834" s="19"/>
      <c r="B1834" s="56" t="s">
        <v>1873</v>
      </c>
      <c r="C1834" s="65">
        <v>1</v>
      </c>
      <c r="D1834" s="57" t="s">
        <v>40</v>
      </c>
      <c r="E1834" s="61">
        <v>1900</v>
      </c>
      <c r="F1834" s="61"/>
      <c r="G1834" s="17">
        <f>+C1834*E1834+C1834*F1834</f>
        <v>1900</v>
      </c>
      <c r="H1834" s="12"/>
      <c r="O1834">
        <f>SUM(O1832:O1833)</f>
        <v>0.65215124600000007</v>
      </c>
      <c r="P1834">
        <f>+O1834*1.05</f>
        <v>0.68475880830000013</v>
      </c>
      <c r="Q1834">
        <f>+P1834/J1831</f>
        <v>0.67932421458333347</v>
      </c>
    </row>
    <row r="1835" spans="1:17">
      <c r="A1835" s="19"/>
      <c r="B1835" s="56" t="s">
        <v>96</v>
      </c>
      <c r="C1835" s="65">
        <v>1</v>
      </c>
      <c r="D1835" s="57" t="s">
        <v>40</v>
      </c>
      <c r="E1835" s="61">
        <v>636.36363636363637</v>
      </c>
      <c r="F1835" s="61"/>
      <c r="G1835" s="17">
        <f t="shared" ref="G1835:G1836" si="183">+C1835*E1835+C1835*F1835</f>
        <v>636.36363636363637</v>
      </c>
      <c r="H1835" s="12"/>
      <c r="J1835" s="73">
        <f>+K1825-E1835</f>
        <v>727.27272727272737</v>
      </c>
    </row>
    <row r="1836" spans="1:17">
      <c r="A1836" s="19"/>
      <c r="B1836" s="56" t="s">
        <v>1874</v>
      </c>
      <c r="C1836" s="65">
        <v>1</v>
      </c>
      <c r="D1836" s="57" t="s">
        <v>40</v>
      </c>
      <c r="E1836" s="61">
        <v>727.27</v>
      </c>
      <c r="F1836" s="61"/>
      <c r="G1836" s="17">
        <f t="shared" si="183"/>
        <v>727.27</v>
      </c>
      <c r="H1836" s="12"/>
    </row>
    <row r="1837" spans="1:17" ht="15.75" thickBot="1">
      <c r="A1837" s="21"/>
      <c r="B1837" s="22"/>
      <c r="C1837" s="23"/>
      <c r="D1837" s="24" t="s">
        <v>111</v>
      </c>
      <c r="E1837" s="78"/>
      <c r="F1837" s="79"/>
      <c r="G1837" s="26">
        <f>SUM(G1834:G1836)</f>
        <v>3263.6336363636365</v>
      </c>
      <c r="H1837" s="27" t="s">
        <v>40</v>
      </c>
    </row>
    <row r="1838" spans="1:17" ht="15.75" thickTop="1">
      <c r="B1838" s="55"/>
    </row>
    <row r="1839" spans="1:17">
      <c r="A1839" s="64"/>
      <c r="B1839" s="370" t="e">
        <f>#REF!</f>
        <v>#REF!</v>
      </c>
      <c r="C1839" s="370"/>
      <c r="D1839" s="370"/>
      <c r="E1839" s="370"/>
      <c r="F1839" s="370"/>
      <c r="G1839" s="370"/>
      <c r="H1839" s="370"/>
      <c r="J1839">
        <v>1.008</v>
      </c>
    </row>
    <row r="1840" spans="1:17">
      <c r="A1840" s="6"/>
      <c r="B1840" s="7"/>
      <c r="C1840" s="8" t="s">
        <v>98</v>
      </c>
      <c r="D1840" s="9" t="s">
        <v>39</v>
      </c>
      <c r="E1840" s="74" t="s">
        <v>99</v>
      </c>
      <c r="F1840" s="75" t="s">
        <v>100</v>
      </c>
      <c r="G1840" s="11" t="s">
        <v>101</v>
      </c>
      <c r="H1840" s="12"/>
      <c r="J1840">
        <f>1.6/0.15</f>
        <v>10.666666666666668</v>
      </c>
      <c r="K1840">
        <v>11</v>
      </c>
      <c r="L1840">
        <v>1.4</v>
      </c>
      <c r="M1840">
        <v>3.2810000000000001</v>
      </c>
      <c r="N1840">
        <v>0.66700000000000004</v>
      </c>
      <c r="O1840">
        <f>+K1840*L1840*M1840*N1840/100</f>
        <v>0.337017758</v>
      </c>
    </row>
    <row r="1841" spans="1:17">
      <c r="A1841" s="6"/>
      <c r="B1841" s="7"/>
      <c r="C1841" s="8"/>
      <c r="D1841" s="9"/>
      <c r="E1841" s="74"/>
      <c r="F1841" s="75"/>
      <c r="G1841" s="11"/>
      <c r="H1841" s="12"/>
      <c r="J1841">
        <f>1.4/0.15</f>
        <v>9.3333333333333339</v>
      </c>
      <c r="K1841">
        <v>9</v>
      </c>
      <c r="L1841">
        <v>1.6</v>
      </c>
      <c r="M1841">
        <v>3.2810000000000001</v>
      </c>
      <c r="N1841">
        <v>0.66700000000000004</v>
      </c>
      <c r="O1841">
        <f>+K1841*L1841*M1841*N1841/100</f>
        <v>0.31513348800000002</v>
      </c>
    </row>
    <row r="1842" spans="1:17">
      <c r="A1842" s="19"/>
      <c r="B1842" s="56" t="s">
        <v>1875</v>
      </c>
      <c r="C1842" s="65">
        <v>1</v>
      </c>
      <c r="D1842" s="57" t="s">
        <v>40</v>
      </c>
      <c r="E1842" s="61">
        <v>1600</v>
      </c>
      <c r="F1842" s="61"/>
      <c r="G1842" s="17">
        <f>+C1842*E1842+C1842*F1842</f>
        <v>1600</v>
      </c>
      <c r="H1842" s="12"/>
      <c r="O1842">
        <f>SUM(O1840:O1841)</f>
        <v>0.65215124600000007</v>
      </c>
      <c r="P1842">
        <f>+O1842*1.05</f>
        <v>0.68475880830000013</v>
      </c>
      <c r="Q1842">
        <f>+P1842/J1839</f>
        <v>0.67932421458333347</v>
      </c>
    </row>
    <row r="1843" spans="1:17">
      <c r="A1843" s="19"/>
      <c r="B1843" s="56" t="s">
        <v>96</v>
      </c>
      <c r="C1843" s="65">
        <v>1</v>
      </c>
      <c r="D1843" s="57" t="s">
        <v>40</v>
      </c>
      <c r="E1843" s="61">
        <v>636.36363636363637</v>
      </c>
      <c r="F1843" s="61"/>
      <c r="G1843" s="17">
        <f t="shared" ref="G1843:G1844" si="184">+C1843*E1843+C1843*F1843</f>
        <v>636.36363636363637</v>
      </c>
      <c r="H1843" s="12"/>
      <c r="J1843" s="73">
        <f>+K1833-E1843</f>
        <v>-627.36363636363637</v>
      </c>
    </row>
    <row r="1844" spans="1:17">
      <c r="A1844" s="19"/>
      <c r="B1844" s="56" t="s">
        <v>1874</v>
      </c>
      <c r="C1844" s="65">
        <v>1</v>
      </c>
      <c r="D1844" s="57" t="s">
        <v>40</v>
      </c>
      <c r="E1844" s="61">
        <v>727.27</v>
      </c>
      <c r="F1844" s="61"/>
      <c r="G1844" s="17">
        <f t="shared" si="184"/>
        <v>727.27</v>
      </c>
      <c r="H1844" s="12"/>
    </row>
    <row r="1845" spans="1:17" ht="15.75" thickBot="1">
      <c r="A1845" s="21"/>
      <c r="B1845" s="22"/>
      <c r="C1845" s="23"/>
      <c r="D1845" s="24" t="s">
        <v>111</v>
      </c>
      <c r="E1845" s="78"/>
      <c r="F1845" s="79"/>
      <c r="G1845" s="26">
        <f>SUM(G1842:G1844)</f>
        <v>2963.6336363636365</v>
      </c>
      <c r="H1845" s="27" t="s">
        <v>40</v>
      </c>
    </row>
    <row r="1846" spans="1:17" ht="15.75" thickTop="1">
      <c r="B1846" s="55"/>
      <c r="J1846">
        <v>2500</v>
      </c>
    </row>
    <row r="1847" spans="1:17">
      <c r="A1847" s="64"/>
      <c r="B1847" s="370" t="e">
        <f>#REF!</f>
        <v>#REF!</v>
      </c>
      <c r="C1847" s="370"/>
      <c r="D1847" s="370"/>
      <c r="E1847" s="370"/>
      <c r="F1847" s="370"/>
      <c r="G1847" s="370"/>
      <c r="H1847" s="370"/>
      <c r="J1847">
        <f>SUM(J1843:J1846)</f>
        <v>1872.6363636363635</v>
      </c>
      <c r="K1847">
        <f>+J1847/11</f>
        <v>170.2396694214876</v>
      </c>
    </row>
    <row r="1848" spans="1:17">
      <c r="A1848" s="6"/>
      <c r="B1848" s="7"/>
      <c r="C1848" s="8" t="s">
        <v>98</v>
      </c>
      <c r="D1848" s="9" t="s">
        <v>39</v>
      </c>
      <c r="E1848" s="74" t="s">
        <v>99</v>
      </c>
      <c r="F1848" s="75" t="s">
        <v>100</v>
      </c>
      <c r="G1848" s="11" t="s">
        <v>101</v>
      </c>
      <c r="H1848" s="12"/>
      <c r="J1848">
        <f>1.6/0.15</f>
        <v>10.666666666666668</v>
      </c>
      <c r="K1848">
        <v>11</v>
      </c>
      <c r="L1848">
        <v>1.4</v>
      </c>
      <c r="M1848">
        <v>3.2810000000000001</v>
      </c>
      <c r="N1848">
        <v>0.66700000000000004</v>
      </c>
      <c r="O1848">
        <f>+K1848*L1848*M1848*N1848/100</f>
        <v>0.337017758</v>
      </c>
    </row>
    <row r="1849" spans="1:17">
      <c r="A1849" s="6"/>
      <c r="B1849" s="7"/>
      <c r="C1849" s="8"/>
      <c r="D1849" s="9"/>
      <c r="E1849" s="74"/>
      <c r="F1849" s="75"/>
      <c r="G1849" s="11"/>
      <c r="H1849" s="12"/>
      <c r="J1849">
        <f>1.4/0.15</f>
        <v>9.3333333333333339</v>
      </c>
      <c r="K1849">
        <v>9</v>
      </c>
      <c r="L1849">
        <v>1.6</v>
      </c>
      <c r="M1849">
        <v>3.2810000000000001</v>
      </c>
      <c r="N1849">
        <v>0.66700000000000004</v>
      </c>
      <c r="O1849">
        <f>+K1849*L1849*M1849*N1849/100</f>
        <v>0.31513348800000002</v>
      </c>
    </row>
    <row r="1850" spans="1:17">
      <c r="A1850" s="19"/>
      <c r="B1850" s="56" t="s">
        <v>151</v>
      </c>
      <c r="C1850" s="65">
        <v>1</v>
      </c>
      <c r="D1850" s="57" t="s">
        <v>20</v>
      </c>
      <c r="E1850" s="61">
        <f>Materiales!$F$1426</f>
        <v>950</v>
      </c>
      <c r="F1850" s="61"/>
      <c r="G1850" s="17">
        <f>+C1850*E1850+C1850*F1850</f>
        <v>950</v>
      </c>
      <c r="H1850" s="12"/>
      <c r="O1850">
        <f>SUM(O1848:O1849)</f>
        <v>0.65215124600000007</v>
      </c>
      <c r="P1850">
        <f>+O1850*1.05</f>
        <v>0.68475880830000013</v>
      </c>
      <c r="Q1850">
        <f>+P1850/J1847</f>
        <v>3.6566565810476246E-4</v>
      </c>
    </row>
    <row r="1851" spans="1:17" ht="15.75" thickBot="1">
      <c r="A1851" s="21"/>
      <c r="B1851" s="22"/>
      <c r="C1851" s="23"/>
      <c r="D1851" s="24" t="s">
        <v>111</v>
      </c>
      <c r="E1851" s="78"/>
      <c r="F1851" s="79"/>
      <c r="G1851" s="26">
        <f>SUM(G1850:G1850)</f>
        <v>950</v>
      </c>
      <c r="H1851" s="27" t="s">
        <v>20</v>
      </c>
    </row>
    <row r="1852" spans="1:17" ht="15.75" thickTop="1">
      <c r="B1852" s="55"/>
    </row>
    <row r="1853" spans="1:17">
      <c r="A1853" s="64"/>
      <c r="B1853" s="370" t="e">
        <f>#REF!</f>
        <v>#REF!</v>
      </c>
      <c r="C1853" s="370"/>
      <c r="D1853" s="370"/>
      <c r="E1853" s="370"/>
      <c r="F1853" s="370"/>
      <c r="G1853" s="370"/>
      <c r="H1853" s="370"/>
      <c r="J1853">
        <v>1.008</v>
      </c>
    </row>
    <row r="1854" spans="1:17">
      <c r="A1854" s="6"/>
      <c r="B1854" s="7"/>
      <c r="C1854" s="8" t="s">
        <v>98</v>
      </c>
      <c r="D1854" s="9" t="s">
        <v>39</v>
      </c>
      <c r="E1854" s="74" t="s">
        <v>99</v>
      </c>
      <c r="F1854" s="75" t="s">
        <v>100</v>
      </c>
      <c r="G1854" s="11" t="s">
        <v>101</v>
      </c>
      <c r="H1854" s="12"/>
      <c r="J1854">
        <f>1.6/0.15</f>
        <v>10.666666666666668</v>
      </c>
      <c r="K1854">
        <v>11</v>
      </c>
      <c r="L1854">
        <v>1.4</v>
      </c>
      <c r="M1854">
        <v>3.2810000000000001</v>
      </c>
      <c r="N1854">
        <v>0.66700000000000004</v>
      </c>
      <c r="O1854">
        <f>+K1854*L1854*M1854*N1854/100</f>
        <v>0.337017758</v>
      </c>
    </row>
    <row r="1855" spans="1:17">
      <c r="A1855" s="6"/>
      <c r="B1855" s="7"/>
      <c r="C1855" s="8"/>
      <c r="D1855" s="9"/>
      <c r="E1855" s="74"/>
      <c r="F1855" s="75"/>
      <c r="G1855" s="11"/>
      <c r="H1855" s="12"/>
      <c r="J1855">
        <f>1.4/0.15</f>
        <v>9.3333333333333339</v>
      </c>
      <c r="K1855">
        <v>9</v>
      </c>
      <c r="L1855">
        <v>1.6</v>
      </c>
      <c r="M1855">
        <v>3.2810000000000001</v>
      </c>
      <c r="N1855">
        <v>0.66700000000000004</v>
      </c>
      <c r="O1855">
        <f>+K1855*L1855*M1855*N1855/100</f>
        <v>0.31513348800000002</v>
      </c>
    </row>
    <row r="1856" spans="1:17">
      <c r="A1856" s="19"/>
      <c r="B1856" s="56" t="s">
        <v>1876</v>
      </c>
      <c r="C1856" s="65">
        <v>0.11</v>
      </c>
      <c r="D1856" s="57" t="s">
        <v>20</v>
      </c>
      <c r="E1856" s="61">
        <f>Materiales!$D$105</f>
        <v>5677.9661016949149</v>
      </c>
      <c r="F1856" s="61">
        <f>+E1856*0.18</f>
        <v>1022.0338983050847</v>
      </c>
      <c r="G1856" s="17">
        <f>+C1856*E1856+C1856*F1856</f>
        <v>737</v>
      </c>
      <c r="H1856" s="12"/>
      <c r="O1856">
        <f>SUM(O1854:O1855)</f>
        <v>0.65215124600000007</v>
      </c>
      <c r="P1856">
        <f>+O1856*1.05</f>
        <v>0.68475880830000013</v>
      </c>
      <c r="Q1856">
        <f>+P1856/J1853</f>
        <v>0.67932421458333347</v>
      </c>
    </row>
    <row r="1857" spans="1:17">
      <c r="A1857" s="19"/>
      <c r="B1857" s="56" t="s">
        <v>1877</v>
      </c>
      <c r="C1857" s="62">
        <v>1</v>
      </c>
      <c r="D1857" s="57" t="s">
        <v>21</v>
      </c>
      <c r="E1857" s="61">
        <v>250</v>
      </c>
      <c r="F1857" s="61"/>
      <c r="G1857" s="17">
        <f t="shared" ref="G1857:G1858" si="185">+C1857*E1857+C1857*F1857</f>
        <v>250</v>
      </c>
      <c r="H1857" s="12"/>
      <c r="J1857" s="73">
        <f>+K1847-E1857</f>
        <v>-79.760330578512395</v>
      </c>
    </row>
    <row r="1858" spans="1:17">
      <c r="A1858" s="19"/>
      <c r="B1858" s="56" t="s">
        <v>1878</v>
      </c>
      <c r="C1858" s="62">
        <v>0.1</v>
      </c>
      <c r="D1858" s="57" t="s">
        <v>20</v>
      </c>
      <c r="E1858" s="61">
        <v>1350</v>
      </c>
      <c r="F1858" s="61"/>
      <c r="G1858" s="17">
        <f t="shared" si="185"/>
        <v>135</v>
      </c>
      <c r="H1858" s="12"/>
      <c r="J1858" s="73"/>
    </row>
    <row r="1859" spans="1:17" ht="15.75" thickBot="1">
      <c r="A1859" s="21"/>
      <c r="B1859" s="22"/>
      <c r="C1859" s="23"/>
      <c r="D1859" s="24" t="s">
        <v>111</v>
      </c>
      <c r="E1859" s="78"/>
      <c r="F1859" s="79"/>
      <c r="G1859" s="26">
        <f>SUM(G1856:G1858)</f>
        <v>1122</v>
      </c>
      <c r="H1859" s="27" t="s">
        <v>21</v>
      </c>
    </row>
    <row r="1860" spans="1:17" ht="15.75" thickTop="1">
      <c r="B1860" s="55"/>
      <c r="J1860">
        <v>1500</v>
      </c>
    </row>
    <row r="1861" spans="1:17">
      <c r="A1861" s="53"/>
      <c r="B1861" s="53" t="e">
        <f>#REF!</f>
        <v>#REF!</v>
      </c>
      <c r="C1861" s="54"/>
      <c r="D1861" s="54"/>
      <c r="E1861" s="72"/>
      <c r="F1861" s="72"/>
      <c r="G1861" s="54"/>
      <c r="H1861" s="54"/>
      <c r="J1861">
        <v>5500</v>
      </c>
    </row>
    <row r="1862" spans="1:17">
      <c r="B1862" s="55"/>
      <c r="J1862">
        <v>2500</v>
      </c>
    </row>
    <row r="1863" spans="1:17">
      <c r="A1863" s="64"/>
      <c r="B1863" s="370" t="e">
        <f>#REF!</f>
        <v>#REF!</v>
      </c>
      <c r="C1863" s="370"/>
      <c r="D1863" s="370"/>
      <c r="E1863" s="370"/>
      <c r="F1863" s="370"/>
      <c r="G1863" s="370"/>
      <c r="H1863" s="370"/>
      <c r="J1863">
        <f>SUM(J1859:J1862)</f>
        <v>9500</v>
      </c>
      <c r="K1863">
        <f>+J1863/11</f>
        <v>863.63636363636363</v>
      </c>
    </row>
    <row r="1864" spans="1:17">
      <c r="A1864" s="6"/>
      <c r="B1864" s="7"/>
      <c r="C1864" s="8" t="s">
        <v>98</v>
      </c>
      <c r="D1864" s="9" t="s">
        <v>39</v>
      </c>
      <c r="E1864" s="74" t="s">
        <v>99</v>
      </c>
      <c r="F1864" s="75" t="s">
        <v>100</v>
      </c>
      <c r="G1864" s="11" t="s">
        <v>101</v>
      </c>
      <c r="H1864" s="12"/>
      <c r="J1864">
        <f>1.6/0.15</f>
        <v>10.666666666666668</v>
      </c>
      <c r="K1864">
        <v>11</v>
      </c>
      <c r="L1864">
        <v>1.4</v>
      </c>
      <c r="M1864">
        <v>3.2810000000000001</v>
      </c>
      <c r="N1864">
        <v>0.66700000000000004</v>
      </c>
      <c r="O1864">
        <f>+K1864*L1864*M1864*N1864/100</f>
        <v>0.337017758</v>
      </c>
    </row>
    <row r="1865" spans="1:17">
      <c r="A1865" s="6"/>
      <c r="B1865" s="7"/>
      <c r="C1865" s="8"/>
      <c r="D1865" s="9"/>
      <c r="E1865" s="74"/>
      <c r="F1865" s="75"/>
      <c r="G1865" s="11"/>
      <c r="H1865" s="12"/>
      <c r="J1865">
        <f>1.4/0.15</f>
        <v>9.3333333333333339</v>
      </c>
      <c r="K1865">
        <v>9</v>
      </c>
      <c r="L1865">
        <v>1.6</v>
      </c>
      <c r="M1865">
        <v>3.2810000000000001</v>
      </c>
      <c r="N1865">
        <v>0.66700000000000004</v>
      </c>
      <c r="O1865">
        <f>+K1865*L1865*M1865*N1865/100</f>
        <v>0.31513348800000002</v>
      </c>
    </row>
    <row r="1866" spans="1:17">
      <c r="A1866" s="19"/>
      <c r="B1866" s="60" t="e">
        <f>+B1863</f>
        <v>#REF!</v>
      </c>
      <c r="C1866" s="65">
        <v>1</v>
      </c>
      <c r="D1866" s="57" t="s">
        <v>1492</v>
      </c>
      <c r="E1866" s="61">
        <v>22253</v>
      </c>
      <c r="F1866" s="61">
        <f>+E1866*0.18</f>
        <v>4005.54</v>
      </c>
      <c r="G1866" s="17">
        <f>+C1866*E1866+C1866*F1866</f>
        <v>26258.54</v>
      </c>
      <c r="H1866" s="12"/>
      <c r="O1866">
        <f>SUM(O1864:O1865)</f>
        <v>0.65215124600000007</v>
      </c>
      <c r="P1866">
        <f>+O1866*1.05</f>
        <v>0.68475880830000013</v>
      </c>
      <c r="Q1866">
        <f>+P1866/J1863</f>
        <v>7.2079874557894757E-5</v>
      </c>
    </row>
    <row r="1867" spans="1:17" ht="15.75" thickBot="1">
      <c r="A1867" s="21"/>
      <c r="B1867" s="22"/>
      <c r="C1867" s="23"/>
      <c r="D1867" s="24" t="s">
        <v>111</v>
      </c>
      <c r="E1867" s="78"/>
      <c r="F1867" s="79"/>
      <c r="G1867" s="26">
        <f>SUM(G1866:G1866)</f>
        <v>26258.54</v>
      </c>
      <c r="H1867" s="27" t="s">
        <v>1492</v>
      </c>
    </row>
    <row r="1868" spans="1:17" ht="15.75" thickTop="1">
      <c r="B1868" s="55"/>
      <c r="J1868">
        <v>2500</v>
      </c>
    </row>
    <row r="1869" spans="1:17">
      <c r="A1869" s="64"/>
      <c r="B1869" s="370" t="e">
        <f>#REF!</f>
        <v>#REF!</v>
      </c>
      <c r="C1869" s="370"/>
      <c r="D1869" s="370"/>
      <c r="E1869" s="370"/>
      <c r="F1869" s="370"/>
      <c r="G1869" s="370"/>
      <c r="H1869" s="370"/>
      <c r="J1869">
        <f>SUM(J1865:J1868)</f>
        <v>2509.3333333333335</v>
      </c>
      <c r="K1869">
        <f>+J1869/11</f>
        <v>228.12121212121212</v>
      </c>
    </row>
    <row r="1870" spans="1:17">
      <c r="A1870" s="6"/>
      <c r="B1870" s="7"/>
      <c r="C1870" s="8" t="s">
        <v>98</v>
      </c>
      <c r="D1870" s="9" t="s">
        <v>39</v>
      </c>
      <c r="E1870" s="74" t="s">
        <v>99</v>
      </c>
      <c r="F1870" s="75" t="s">
        <v>100</v>
      </c>
      <c r="G1870" s="11" t="s">
        <v>101</v>
      </c>
      <c r="H1870" s="12"/>
      <c r="J1870">
        <f>1.6/0.15</f>
        <v>10.666666666666668</v>
      </c>
      <c r="K1870">
        <v>11</v>
      </c>
      <c r="L1870">
        <v>1.4</v>
      </c>
      <c r="M1870">
        <v>3.2810000000000001</v>
      </c>
      <c r="N1870">
        <v>0.66700000000000004</v>
      </c>
      <c r="O1870">
        <f>+K1870*L1870*M1870*N1870/100</f>
        <v>0.337017758</v>
      </c>
    </row>
    <row r="1871" spans="1:17">
      <c r="A1871" s="6"/>
      <c r="B1871" s="7"/>
      <c r="C1871" s="8"/>
      <c r="D1871" s="9"/>
      <c r="E1871" s="74"/>
      <c r="F1871" s="75"/>
      <c r="G1871" s="11"/>
      <c r="H1871" s="12"/>
      <c r="J1871">
        <f>1.4/0.15</f>
        <v>9.3333333333333339</v>
      </c>
      <c r="K1871">
        <v>9</v>
      </c>
      <c r="L1871">
        <v>1.6</v>
      </c>
      <c r="M1871">
        <v>3.2810000000000001</v>
      </c>
      <c r="N1871">
        <v>0.66700000000000004</v>
      </c>
      <c r="O1871">
        <f>+K1871*L1871*M1871*N1871/100</f>
        <v>0.31513348800000002</v>
      </c>
    </row>
    <row r="1872" spans="1:17">
      <c r="A1872" s="19"/>
      <c r="B1872" s="60" t="e">
        <f>+B1869</f>
        <v>#REF!</v>
      </c>
      <c r="C1872" s="65">
        <v>1</v>
      </c>
      <c r="D1872" s="57" t="s">
        <v>1492</v>
      </c>
      <c r="E1872" s="61">
        <v>4539</v>
      </c>
      <c r="F1872" s="61">
        <f>+E1872*0.18</f>
        <v>817.02</v>
      </c>
      <c r="G1872" s="17">
        <f>+C1872*E1872+C1872*F1872</f>
        <v>5356.02</v>
      </c>
      <c r="H1872" s="12"/>
      <c r="O1872">
        <f>SUM(O1870:O1871)</f>
        <v>0.65215124600000007</v>
      </c>
      <c r="P1872">
        <f>+O1872*1.05</f>
        <v>0.68475880830000013</v>
      </c>
      <c r="Q1872">
        <f>+P1872/J1869</f>
        <v>2.7288475357332628E-4</v>
      </c>
    </row>
    <row r="1873" spans="1:17" ht="15.75" thickBot="1">
      <c r="A1873" s="21"/>
      <c r="B1873" s="22"/>
      <c r="C1873" s="23"/>
      <c r="D1873" s="24" t="s">
        <v>111</v>
      </c>
      <c r="E1873" s="78"/>
      <c r="F1873" s="79"/>
      <c r="G1873" s="26">
        <f>SUM(G1872:G1872)</f>
        <v>5356.02</v>
      </c>
      <c r="H1873" s="27" t="s">
        <v>1492</v>
      </c>
    </row>
    <row r="1874" spans="1:17" ht="15.75" thickTop="1">
      <c r="B1874" s="55"/>
      <c r="J1874">
        <v>2500</v>
      </c>
    </row>
    <row r="1875" spans="1:17">
      <c r="A1875" s="64"/>
      <c r="B1875" s="370" t="e">
        <f>#REF!</f>
        <v>#REF!</v>
      </c>
      <c r="C1875" s="370"/>
      <c r="D1875" s="370"/>
      <c r="E1875" s="370"/>
      <c r="F1875" s="370"/>
      <c r="G1875" s="370"/>
      <c r="H1875" s="370"/>
      <c r="J1875">
        <f>SUM(J1871:J1874)</f>
        <v>2509.3333333333335</v>
      </c>
      <c r="K1875">
        <f>+J1875/11</f>
        <v>228.12121212121212</v>
      </c>
    </row>
    <row r="1876" spans="1:17">
      <c r="A1876" s="6"/>
      <c r="B1876" s="7"/>
      <c r="C1876" s="8" t="s">
        <v>98</v>
      </c>
      <c r="D1876" s="9" t="s">
        <v>39</v>
      </c>
      <c r="E1876" s="74" t="s">
        <v>99</v>
      </c>
      <c r="F1876" s="75" t="s">
        <v>100</v>
      </c>
      <c r="G1876" s="11" t="s">
        <v>101</v>
      </c>
      <c r="H1876" s="12"/>
      <c r="J1876">
        <f>1.6/0.15</f>
        <v>10.666666666666668</v>
      </c>
      <c r="K1876">
        <v>11</v>
      </c>
      <c r="L1876">
        <v>1.4</v>
      </c>
      <c r="M1876">
        <v>3.2810000000000001</v>
      </c>
      <c r="N1876">
        <v>0.66700000000000004</v>
      </c>
      <c r="O1876">
        <f>+K1876*L1876*M1876*N1876/100</f>
        <v>0.337017758</v>
      </c>
    </row>
    <row r="1877" spans="1:17">
      <c r="A1877" s="6"/>
      <c r="B1877" s="7"/>
      <c r="C1877" s="8"/>
      <c r="D1877" s="9"/>
      <c r="E1877" s="74"/>
      <c r="F1877" s="75"/>
      <c r="G1877" s="11"/>
      <c r="H1877" s="12"/>
      <c r="J1877">
        <f>1.4/0.15</f>
        <v>9.3333333333333339</v>
      </c>
      <c r="K1877">
        <v>9</v>
      </c>
      <c r="L1877">
        <v>1.6</v>
      </c>
      <c r="M1877">
        <v>3.2810000000000001</v>
      </c>
      <c r="N1877">
        <v>0.66700000000000004</v>
      </c>
      <c r="O1877">
        <f>+K1877*L1877*M1877*N1877/100</f>
        <v>0.31513348800000002</v>
      </c>
    </row>
    <row r="1878" spans="1:17">
      <c r="A1878" s="19"/>
      <c r="B1878" s="60" t="e">
        <f>+B1875</f>
        <v>#REF!</v>
      </c>
      <c r="C1878" s="65">
        <v>1</v>
      </c>
      <c r="D1878" s="57" t="s">
        <v>1492</v>
      </c>
      <c r="E1878" s="61">
        <f>16900/1.18</f>
        <v>14322.033898305086</v>
      </c>
      <c r="F1878" s="61">
        <f>+E1878*0.18</f>
        <v>2577.9661016949153</v>
      </c>
      <c r="G1878" s="17">
        <f>+C1878*E1878+C1878*F1878</f>
        <v>16900</v>
      </c>
      <c r="H1878" s="12"/>
      <c r="O1878">
        <f>SUM(O1876:O1877)</f>
        <v>0.65215124600000007</v>
      </c>
      <c r="P1878">
        <f>+O1878*1.05</f>
        <v>0.68475880830000013</v>
      </c>
      <c r="Q1878">
        <f>+P1878/J1875</f>
        <v>2.7288475357332628E-4</v>
      </c>
    </row>
    <row r="1879" spans="1:17" ht="15.75" thickBot="1">
      <c r="A1879" s="21"/>
      <c r="B1879" s="22"/>
      <c r="C1879" s="23"/>
      <c r="D1879" s="24" t="s">
        <v>111</v>
      </c>
      <c r="E1879" s="78"/>
      <c r="F1879" s="79"/>
      <c r="G1879" s="26">
        <f>SUM(G1878:G1878)</f>
        <v>16900</v>
      </c>
      <c r="H1879" s="27" t="s">
        <v>1492</v>
      </c>
    </row>
    <row r="1880" spans="1:17" ht="15.75" thickTop="1">
      <c r="B1880" s="55"/>
      <c r="J1880">
        <v>2500</v>
      </c>
    </row>
    <row r="1881" spans="1:17">
      <c r="A1881" s="64"/>
      <c r="B1881" s="370" t="e">
        <f>#REF!</f>
        <v>#REF!</v>
      </c>
      <c r="C1881" s="370"/>
      <c r="D1881" s="370"/>
      <c r="E1881" s="370"/>
      <c r="F1881" s="370"/>
      <c r="G1881" s="370"/>
      <c r="H1881" s="370"/>
      <c r="J1881">
        <f>SUM(J1877:J1880)</f>
        <v>2509.3333333333335</v>
      </c>
      <c r="K1881">
        <f>+J1881/11</f>
        <v>228.12121212121212</v>
      </c>
    </row>
    <row r="1882" spans="1:17">
      <c r="A1882" s="6"/>
      <c r="B1882" s="7"/>
      <c r="C1882" s="8" t="s">
        <v>98</v>
      </c>
      <c r="D1882" s="9" t="s">
        <v>39</v>
      </c>
      <c r="E1882" s="74" t="s">
        <v>99</v>
      </c>
      <c r="F1882" s="75" t="s">
        <v>100</v>
      </c>
      <c r="G1882" s="11" t="s">
        <v>101</v>
      </c>
      <c r="H1882" s="12"/>
      <c r="J1882">
        <f>1.6/0.15</f>
        <v>10.666666666666668</v>
      </c>
      <c r="K1882">
        <v>11</v>
      </c>
      <c r="L1882">
        <v>1.4</v>
      </c>
      <c r="M1882">
        <v>3.2810000000000001</v>
      </c>
      <c r="N1882">
        <v>0.66700000000000004</v>
      </c>
      <c r="O1882">
        <f>+K1882*L1882*M1882*N1882/100</f>
        <v>0.337017758</v>
      </c>
    </row>
    <row r="1883" spans="1:17">
      <c r="A1883" s="6"/>
      <c r="B1883" s="7"/>
      <c r="C1883" s="8"/>
      <c r="D1883" s="9"/>
      <c r="E1883" s="74"/>
      <c r="F1883" s="75"/>
      <c r="G1883" s="11"/>
      <c r="H1883" s="12"/>
      <c r="J1883">
        <f>1.4/0.15</f>
        <v>9.3333333333333339</v>
      </c>
      <c r="K1883">
        <v>9</v>
      </c>
      <c r="L1883">
        <v>1.6</v>
      </c>
      <c r="M1883">
        <v>3.2810000000000001</v>
      </c>
      <c r="N1883">
        <v>0.66700000000000004</v>
      </c>
      <c r="O1883">
        <f>+K1883*L1883*M1883*N1883/100</f>
        <v>0.31513348800000002</v>
      </c>
    </row>
    <row r="1884" spans="1:17">
      <c r="A1884" s="19"/>
      <c r="B1884" s="60" t="e">
        <f>+B1881</f>
        <v>#REF!</v>
      </c>
      <c r="C1884" s="65">
        <v>1</v>
      </c>
      <c r="D1884" s="57" t="s">
        <v>1492</v>
      </c>
      <c r="E1884" s="61">
        <v>10271</v>
      </c>
      <c r="F1884" s="61">
        <f>+E1884*0.18</f>
        <v>1848.78</v>
      </c>
      <c r="G1884" s="17">
        <f>+C1884*E1884+C1884*F1884</f>
        <v>12119.78</v>
      </c>
      <c r="H1884" s="12"/>
      <c r="O1884">
        <f>SUM(O1882:O1883)</f>
        <v>0.65215124600000007</v>
      </c>
      <c r="P1884">
        <f>+O1884*1.05</f>
        <v>0.68475880830000013</v>
      </c>
      <c r="Q1884">
        <f>+P1884/J1881</f>
        <v>2.7288475357332628E-4</v>
      </c>
    </row>
    <row r="1885" spans="1:17" ht="15.75" thickBot="1">
      <c r="A1885" s="21"/>
      <c r="B1885" s="22"/>
      <c r="C1885" s="23"/>
      <c r="D1885" s="24" t="s">
        <v>111</v>
      </c>
      <c r="E1885" s="78"/>
      <c r="F1885" s="79"/>
      <c r="G1885" s="26">
        <f>SUM(G1884:G1884)</f>
        <v>12119.78</v>
      </c>
      <c r="H1885" s="27" t="s">
        <v>1492</v>
      </c>
    </row>
    <row r="1886" spans="1:17" ht="15.75" thickTop="1">
      <c r="B1886" s="55"/>
      <c r="J1886">
        <v>2500</v>
      </c>
    </row>
    <row r="1887" spans="1:17">
      <c r="A1887" s="64"/>
      <c r="B1887" s="370" t="e">
        <f>#REF!</f>
        <v>#REF!</v>
      </c>
      <c r="C1887" s="370"/>
      <c r="D1887" s="370"/>
      <c r="E1887" s="370"/>
      <c r="F1887" s="370"/>
      <c r="G1887" s="370"/>
      <c r="H1887" s="370"/>
      <c r="J1887">
        <f>SUM(J1883:J1886)</f>
        <v>2509.3333333333335</v>
      </c>
      <c r="K1887">
        <f>+J1887/11</f>
        <v>228.12121212121212</v>
      </c>
    </row>
    <row r="1888" spans="1:17">
      <c r="A1888" s="6"/>
      <c r="B1888" s="7"/>
      <c r="C1888" s="8" t="s">
        <v>98</v>
      </c>
      <c r="D1888" s="9" t="s">
        <v>39</v>
      </c>
      <c r="E1888" s="74" t="s">
        <v>99</v>
      </c>
      <c r="F1888" s="75" t="s">
        <v>100</v>
      </c>
      <c r="G1888" s="11" t="s">
        <v>101</v>
      </c>
      <c r="H1888" s="12"/>
      <c r="J1888">
        <f>1.6/0.15</f>
        <v>10.666666666666668</v>
      </c>
      <c r="K1888">
        <v>11</v>
      </c>
      <c r="L1888">
        <v>1.4</v>
      </c>
      <c r="M1888">
        <v>3.2810000000000001</v>
      </c>
      <c r="N1888">
        <v>0.66700000000000004</v>
      </c>
      <c r="O1888">
        <f>+K1888*L1888*M1888*N1888/100</f>
        <v>0.337017758</v>
      </c>
    </row>
    <row r="1889" spans="1:17">
      <c r="A1889" s="6"/>
      <c r="B1889" s="7"/>
      <c r="C1889" s="8"/>
      <c r="D1889" s="9"/>
      <c r="E1889" s="74"/>
      <c r="F1889" s="75"/>
      <c r="G1889" s="11"/>
      <c r="H1889" s="12"/>
      <c r="J1889">
        <f>1.4/0.15</f>
        <v>9.3333333333333339</v>
      </c>
      <c r="K1889">
        <v>9</v>
      </c>
      <c r="L1889">
        <v>1.6</v>
      </c>
      <c r="M1889">
        <v>3.2810000000000001</v>
      </c>
      <c r="N1889">
        <v>0.66700000000000004</v>
      </c>
      <c r="O1889">
        <f>+K1889*L1889*M1889*N1889/100</f>
        <v>0.31513348800000002</v>
      </c>
    </row>
    <row r="1890" spans="1:17">
      <c r="A1890" s="19"/>
      <c r="B1890" s="60" t="e">
        <f>+B1887</f>
        <v>#REF!</v>
      </c>
      <c r="C1890" s="65">
        <v>1</v>
      </c>
      <c r="D1890" s="57" t="s">
        <v>1492</v>
      </c>
      <c r="E1890" s="61">
        <f>7325/1.18</f>
        <v>6207.6271186440681</v>
      </c>
      <c r="F1890" s="61">
        <f>+E1890*0.18</f>
        <v>1117.3728813559321</v>
      </c>
      <c r="G1890" s="17">
        <f>+C1890*E1890+C1890*F1890</f>
        <v>7325</v>
      </c>
      <c r="H1890" s="12"/>
      <c r="O1890">
        <f>SUM(O1888:O1889)</f>
        <v>0.65215124600000007</v>
      </c>
      <c r="P1890">
        <f>+O1890*1.05</f>
        <v>0.68475880830000013</v>
      </c>
      <c r="Q1890">
        <f>+P1890/J1887</f>
        <v>2.7288475357332628E-4</v>
      </c>
    </row>
    <row r="1891" spans="1:17" ht="15.75" thickBot="1">
      <c r="A1891" s="21"/>
      <c r="B1891" s="22"/>
      <c r="C1891" s="23"/>
      <c r="D1891" s="24" t="s">
        <v>111</v>
      </c>
      <c r="E1891" s="78"/>
      <c r="F1891" s="79"/>
      <c r="G1891" s="26">
        <f>SUM(G1890:G1890)</f>
        <v>7325</v>
      </c>
      <c r="H1891" s="27" t="s">
        <v>1492</v>
      </c>
    </row>
    <row r="1892" spans="1:17" ht="15.75" thickTop="1">
      <c r="B1892" s="55"/>
      <c r="J1892">
        <v>2500</v>
      </c>
    </row>
    <row r="1893" spans="1:17">
      <c r="A1893" s="64"/>
      <c r="B1893" s="370" t="e">
        <f>#REF!</f>
        <v>#REF!</v>
      </c>
      <c r="C1893" s="370"/>
      <c r="D1893" s="370"/>
      <c r="E1893" s="370"/>
      <c r="F1893" s="370"/>
      <c r="G1893" s="370"/>
      <c r="H1893" s="370"/>
      <c r="J1893">
        <f>SUM(J1889:J1892)</f>
        <v>2509.3333333333335</v>
      </c>
      <c r="K1893">
        <f>+J1893/11</f>
        <v>228.12121212121212</v>
      </c>
    </row>
    <row r="1894" spans="1:17">
      <c r="A1894" s="6"/>
      <c r="B1894" s="7"/>
      <c r="C1894" s="8" t="s">
        <v>98</v>
      </c>
      <c r="D1894" s="9" t="s">
        <v>39</v>
      </c>
      <c r="E1894" s="74" t="s">
        <v>99</v>
      </c>
      <c r="F1894" s="75" t="s">
        <v>100</v>
      </c>
      <c r="G1894" s="11" t="s">
        <v>101</v>
      </c>
      <c r="H1894" s="12"/>
      <c r="J1894">
        <f>1.6/0.15</f>
        <v>10.666666666666668</v>
      </c>
      <c r="K1894">
        <v>11</v>
      </c>
      <c r="L1894">
        <v>1.4</v>
      </c>
      <c r="M1894">
        <v>3.2810000000000001</v>
      </c>
      <c r="N1894">
        <v>0.66700000000000004</v>
      </c>
      <c r="O1894">
        <f>+K1894*L1894*M1894*N1894/100</f>
        <v>0.337017758</v>
      </c>
    </row>
    <row r="1895" spans="1:17">
      <c r="A1895" s="6"/>
      <c r="B1895" s="7"/>
      <c r="C1895" s="8"/>
      <c r="D1895" s="9"/>
      <c r="E1895" s="74"/>
      <c r="F1895" s="75"/>
      <c r="G1895" s="11"/>
      <c r="H1895" s="12"/>
      <c r="J1895">
        <f>1.4/0.15</f>
        <v>9.3333333333333339</v>
      </c>
      <c r="K1895">
        <v>9</v>
      </c>
      <c r="L1895">
        <v>1.6</v>
      </c>
      <c r="M1895">
        <v>3.2810000000000001</v>
      </c>
      <c r="N1895">
        <v>0.66700000000000004</v>
      </c>
      <c r="O1895">
        <f>+K1895*L1895*M1895*N1895/100</f>
        <v>0.31513348800000002</v>
      </c>
    </row>
    <row r="1896" spans="1:17">
      <c r="A1896" s="19"/>
      <c r="B1896" s="60" t="e">
        <f>+B1893</f>
        <v>#REF!</v>
      </c>
      <c r="C1896" s="65">
        <v>1</v>
      </c>
      <c r="D1896" s="57" t="s">
        <v>1492</v>
      </c>
      <c r="E1896" s="61">
        <v>10772</v>
      </c>
      <c r="F1896" s="61">
        <f>+E1896*0.18</f>
        <v>1938.96</v>
      </c>
      <c r="G1896" s="17">
        <f>+C1896*E1896+C1896*F1896</f>
        <v>12710.96</v>
      </c>
      <c r="H1896" s="12"/>
      <c r="O1896">
        <f>SUM(O1894:O1895)</f>
        <v>0.65215124600000007</v>
      </c>
      <c r="P1896">
        <f>+O1896*1.05</f>
        <v>0.68475880830000013</v>
      </c>
      <c r="Q1896">
        <f>+P1896/J1893</f>
        <v>2.7288475357332628E-4</v>
      </c>
    </row>
    <row r="1897" spans="1:17" ht="15.75" thickBot="1">
      <c r="A1897" s="21"/>
      <c r="B1897" s="22"/>
      <c r="C1897" s="23"/>
      <c r="D1897" s="24" t="s">
        <v>111</v>
      </c>
      <c r="E1897" s="78"/>
      <c r="F1897" s="79"/>
      <c r="G1897" s="26">
        <f>SUM(G1896:G1896)</f>
        <v>12710.96</v>
      </c>
      <c r="H1897" s="27" t="s">
        <v>1492</v>
      </c>
    </row>
    <row r="1898" spans="1:17" ht="15.75" thickTop="1">
      <c r="B1898" s="55"/>
      <c r="J1898">
        <v>2500</v>
      </c>
    </row>
    <row r="1899" spans="1:17">
      <c r="A1899" s="64"/>
      <c r="B1899" s="370" t="e">
        <f>#REF!</f>
        <v>#REF!</v>
      </c>
      <c r="C1899" s="370"/>
      <c r="D1899" s="370"/>
      <c r="E1899" s="370"/>
      <c r="F1899" s="370"/>
      <c r="G1899" s="370"/>
      <c r="H1899" s="370"/>
      <c r="J1899">
        <f>SUM(J1895:J1898)</f>
        <v>2509.3333333333335</v>
      </c>
      <c r="K1899">
        <f>+J1899/11</f>
        <v>228.12121212121212</v>
      </c>
    </row>
    <row r="1900" spans="1:17">
      <c r="A1900" s="6"/>
      <c r="B1900" s="7"/>
      <c r="C1900" s="8" t="s">
        <v>98</v>
      </c>
      <c r="D1900" s="9" t="s">
        <v>39</v>
      </c>
      <c r="E1900" s="74" t="s">
        <v>99</v>
      </c>
      <c r="F1900" s="75" t="s">
        <v>100</v>
      </c>
      <c r="G1900" s="11" t="s">
        <v>101</v>
      </c>
      <c r="H1900" s="12"/>
      <c r="J1900">
        <f>1.6/0.15</f>
        <v>10.666666666666668</v>
      </c>
      <c r="K1900">
        <v>11</v>
      </c>
      <c r="L1900">
        <v>1.4</v>
      </c>
      <c r="M1900">
        <v>3.2810000000000001</v>
      </c>
      <c r="N1900">
        <v>0.66700000000000004</v>
      </c>
      <c r="O1900">
        <f>+K1900*L1900*M1900*N1900/100</f>
        <v>0.337017758</v>
      </c>
    </row>
    <row r="1901" spans="1:17">
      <c r="A1901" s="6"/>
      <c r="B1901" s="7"/>
      <c r="C1901" s="8"/>
      <c r="D1901" s="9"/>
      <c r="E1901" s="74"/>
      <c r="F1901" s="75"/>
      <c r="G1901" s="11"/>
      <c r="H1901" s="12"/>
      <c r="J1901">
        <f>1.4/0.15</f>
        <v>9.3333333333333339</v>
      </c>
      <c r="K1901">
        <v>9</v>
      </c>
      <c r="L1901">
        <v>1.6</v>
      </c>
      <c r="M1901">
        <v>3.2810000000000001</v>
      </c>
      <c r="N1901">
        <v>0.66700000000000004</v>
      </c>
      <c r="O1901">
        <f>+K1901*L1901*M1901*N1901/100</f>
        <v>0.31513348800000002</v>
      </c>
    </row>
    <row r="1902" spans="1:17">
      <c r="A1902" s="19"/>
      <c r="B1902" s="60" t="e">
        <f>+B1899</f>
        <v>#REF!</v>
      </c>
      <c r="C1902" s="65">
        <v>1</v>
      </c>
      <c r="D1902" s="57" t="s">
        <v>1492</v>
      </c>
      <c r="E1902" s="61">
        <v>10530</v>
      </c>
      <c r="F1902" s="61">
        <f>+E1902*0.18</f>
        <v>1895.3999999999999</v>
      </c>
      <c r="G1902" s="17">
        <f>+C1902*E1902+C1902*F1902</f>
        <v>12425.4</v>
      </c>
      <c r="H1902" s="12"/>
      <c r="O1902">
        <f>SUM(O1900:O1901)</f>
        <v>0.65215124600000007</v>
      </c>
      <c r="P1902">
        <f>+O1902*1.05</f>
        <v>0.68475880830000013</v>
      </c>
      <c r="Q1902">
        <f>+P1902/J1899</f>
        <v>2.7288475357332628E-4</v>
      </c>
    </row>
    <row r="1903" spans="1:17" ht="15.75" thickBot="1">
      <c r="A1903" s="21"/>
      <c r="B1903" s="22"/>
      <c r="C1903" s="23"/>
      <c r="D1903" s="24" t="s">
        <v>111</v>
      </c>
      <c r="E1903" s="78"/>
      <c r="F1903" s="79"/>
      <c r="G1903" s="26">
        <f>SUM(G1902:G1902)</f>
        <v>12425.4</v>
      </c>
      <c r="H1903" s="27" t="s">
        <v>1492</v>
      </c>
    </row>
    <row r="1904" spans="1:17" ht="15.75" thickTop="1">
      <c r="B1904" s="55"/>
      <c r="J1904">
        <v>2500</v>
      </c>
    </row>
    <row r="1905" spans="1:17">
      <c r="A1905" s="64"/>
      <c r="B1905" s="370" t="e">
        <f>#REF!</f>
        <v>#REF!</v>
      </c>
      <c r="C1905" s="370"/>
      <c r="D1905" s="370"/>
      <c r="E1905" s="370"/>
      <c r="F1905" s="370"/>
      <c r="G1905" s="370"/>
      <c r="H1905" s="370"/>
      <c r="J1905">
        <f>SUM(J1901:J1904)</f>
        <v>2509.3333333333335</v>
      </c>
      <c r="K1905">
        <f>+J1905/11</f>
        <v>228.12121212121212</v>
      </c>
    </row>
    <row r="1906" spans="1:17">
      <c r="A1906" s="6"/>
      <c r="B1906" s="7"/>
      <c r="C1906" s="8" t="s">
        <v>98</v>
      </c>
      <c r="D1906" s="9" t="s">
        <v>39</v>
      </c>
      <c r="E1906" s="74" t="s">
        <v>99</v>
      </c>
      <c r="F1906" s="75" t="s">
        <v>100</v>
      </c>
      <c r="G1906" s="11" t="s">
        <v>101</v>
      </c>
      <c r="H1906" s="12"/>
      <c r="J1906">
        <f>1.6/0.15</f>
        <v>10.666666666666668</v>
      </c>
      <c r="K1906">
        <v>11</v>
      </c>
      <c r="L1906">
        <v>1.4</v>
      </c>
      <c r="M1906">
        <v>3.2810000000000001</v>
      </c>
      <c r="N1906">
        <v>0.66700000000000004</v>
      </c>
      <c r="O1906">
        <f>+K1906*L1906*M1906*N1906/100</f>
        <v>0.337017758</v>
      </c>
    </row>
    <row r="1907" spans="1:17">
      <c r="A1907" s="6"/>
      <c r="B1907" s="7"/>
      <c r="C1907" s="8"/>
      <c r="D1907" s="9"/>
      <c r="E1907" s="74"/>
      <c r="F1907" s="75"/>
      <c r="G1907" s="11"/>
      <c r="H1907" s="12"/>
      <c r="J1907">
        <f>1.4/0.15</f>
        <v>9.3333333333333339</v>
      </c>
      <c r="K1907">
        <v>9</v>
      </c>
      <c r="L1907">
        <v>1.6</v>
      </c>
      <c r="M1907">
        <v>3.2810000000000001</v>
      </c>
      <c r="N1907">
        <v>0.66700000000000004</v>
      </c>
      <c r="O1907">
        <f>+K1907*L1907*M1907*N1907/100</f>
        <v>0.31513348800000002</v>
      </c>
    </row>
    <row r="1908" spans="1:17">
      <c r="A1908" s="19"/>
      <c r="B1908" s="60" t="e">
        <f>+B1905</f>
        <v>#REF!</v>
      </c>
      <c r="C1908" s="65">
        <v>1</v>
      </c>
      <c r="D1908" s="57" t="s">
        <v>1492</v>
      </c>
      <c r="E1908" s="61">
        <v>7387</v>
      </c>
      <c r="F1908" s="61">
        <f>+E1908*0.18</f>
        <v>1329.6599999999999</v>
      </c>
      <c r="G1908" s="17">
        <f>+C1908*E1908+C1908*F1908</f>
        <v>8716.66</v>
      </c>
      <c r="H1908" s="12"/>
      <c r="O1908">
        <f>SUM(O1906:O1907)</f>
        <v>0.65215124600000007</v>
      </c>
      <c r="P1908">
        <f>+O1908*1.05</f>
        <v>0.68475880830000013</v>
      </c>
      <c r="Q1908">
        <f>+P1908/J1905</f>
        <v>2.7288475357332628E-4</v>
      </c>
    </row>
    <row r="1909" spans="1:17" ht="15.75" thickBot="1">
      <c r="A1909" s="21"/>
      <c r="B1909" s="22"/>
      <c r="C1909" s="23"/>
      <c r="D1909" s="24" t="s">
        <v>111</v>
      </c>
      <c r="E1909" s="78"/>
      <c r="F1909" s="79"/>
      <c r="G1909" s="26">
        <f>SUM(G1908:G1908)</f>
        <v>8716.66</v>
      </c>
      <c r="H1909" s="27" t="s">
        <v>1492</v>
      </c>
    </row>
    <row r="1910" spans="1:17" ht="15.75" thickTop="1">
      <c r="B1910" s="55"/>
      <c r="J1910">
        <v>2500</v>
      </c>
    </row>
    <row r="1911" spans="1:17">
      <c r="A1911" s="64"/>
      <c r="B1911" s="370" t="e">
        <f>#REF!</f>
        <v>#REF!</v>
      </c>
      <c r="C1911" s="370"/>
      <c r="D1911" s="370"/>
      <c r="E1911" s="370"/>
      <c r="F1911" s="370"/>
      <c r="G1911" s="370"/>
      <c r="H1911" s="370"/>
      <c r="J1911">
        <f>SUM(J1907:J1910)</f>
        <v>2509.3333333333335</v>
      </c>
      <c r="K1911">
        <f>+J1911/11</f>
        <v>228.12121212121212</v>
      </c>
    </row>
    <row r="1912" spans="1:17">
      <c r="A1912" s="6"/>
      <c r="B1912" s="7"/>
      <c r="C1912" s="8" t="s">
        <v>98</v>
      </c>
      <c r="D1912" s="9" t="s">
        <v>39</v>
      </c>
      <c r="E1912" s="74" t="s">
        <v>99</v>
      </c>
      <c r="F1912" s="75" t="s">
        <v>100</v>
      </c>
      <c r="G1912" s="11" t="s">
        <v>101</v>
      </c>
      <c r="H1912" s="12"/>
      <c r="J1912">
        <f>1.6/0.15</f>
        <v>10.666666666666668</v>
      </c>
      <c r="K1912">
        <v>11</v>
      </c>
      <c r="L1912">
        <v>1.4</v>
      </c>
      <c r="M1912">
        <v>3.2810000000000001</v>
      </c>
      <c r="N1912">
        <v>0.66700000000000004</v>
      </c>
      <c r="O1912">
        <f>+K1912*L1912*M1912*N1912/100</f>
        <v>0.337017758</v>
      </c>
    </row>
    <row r="1913" spans="1:17">
      <c r="A1913" s="6"/>
      <c r="B1913" s="7"/>
      <c r="C1913" s="8"/>
      <c r="D1913" s="9"/>
      <c r="E1913" s="74"/>
      <c r="F1913" s="75"/>
      <c r="G1913" s="11"/>
      <c r="H1913" s="12"/>
      <c r="J1913">
        <f>1.4/0.15</f>
        <v>9.3333333333333339</v>
      </c>
      <c r="K1913">
        <v>9</v>
      </c>
      <c r="L1913">
        <v>1.6</v>
      </c>
      <c r="M1913">
        <v>3.2810000000000001</v>
      </c>
      <c r="N1913">
        <v>0.66700000000000004</v>
      </c>
      <c r="O1913">
        <f>+K1913*L1913*M1913*N1913/100</f>
        <v>0.31513348800000002</v>
      </c>
    </row>
    <row r="1914" spans="1:17">
      <c r="A1914" s="19"/>
      <c r="B1914" s="60" t="e">
        <f>+B1911</f>
        <v>#REF!</v>
      </c>
      <c r="C1914" s="65">
        <v>1</v>
      </c>
      <c r="D1914" s="57" t="s">
        <v>1492</v>
      </c>
      <c r="E1914" s="61">
        <v>18905</v>
      </c>
      <c r="F1914" s="61">
        <f>+E1914*0.18</f>
        <v>3402.9</v>
      </c>
      <c r="G1914" s="17">
        <f>+C1914*E1914+C1914*F1914</f>
        <v>22307.9</v>
      </c>
      <c r="H1914" s="12"/>
      <c r="O1914">
        <f>SUM(O1912:O1913)</f>
        <v>0.65215124600000007</v>
      </c>
      <c r="P1914">
        <f>+O1914*1.05</f>
        <v>0.68475880830000013</v>
      </c>
      <c r="Q1914">
        <f>+P1914/J1911</f>
        <v>2.7288475357332628E-4</v>
      </c>
    </row>
    <row r="1915" spans="1:17" ht="15.75" thickBot="1">
      <c r="A1915" s="21"/>
      <c r="B1915" s="22"/>
      <c r="C1915" s="23"/>
      <c r="D1915" s="24" t="s">
        <v>111</v>
      </c>
      <c r="E1915" s="78"/>
      <c r="F1915" s="79"/>
      <c r="G1915" s="26">
        <f>SUM(G1914:G1914)</f>
        <v>22307.9</v>
      </c>
      <c r="H1915" s="27" t="s">
        <v>1492</v>
      </c>
    </row>
    <row r="1916" spans="1:17" ht="15.75" thickTop="1">
      <c r="B1916" s="55"/>
      <c r="J1916">
        <v>2500</v>
      </c>
    </row>
    <row r="1917" spans="1:17">
      <c r="A1917" s="64"/>
      <c r="B1917" s="370" t="e">
        <f>#REF!</f>
        <v>#REF!</v>
      </c>
      <c r="C1917" s="370"/>
      <c r="D1917" s="370"/>
      <c r="E1917" s="370"/>
      <c r="F1917" s="370"/>
      <c r="G1917" s="370"/>
      <c r="H1917" s="370"/>
      <c r="J1917">
        <f>SUM(J1913:J1916)</f>
        <v>2509.3333333333335</v>
      </c>
      <c r="K1917">
        <f>+J1917/11</f>
        <v>228.12121212121212</v>
      </c>
    </row>
    <row r="1918" spans="1:17">
      <c r="A1918" s="6"/>
      <c r="B1918" s="7"/>
      <c r="C1918" s="8" t="s">
        <v>98</v>
      </c>
      <c r="D1918" s="9" t="s">
        <v>39</v>
      </c>
      <c r="E1918" s="74" t="s">
        <v>99</v>
      </c>
      <c r="F1918" s="75" t="s">
        <v>100</v>
      </c>
      <c r="G1918" s="11" t="s">
        <v>101</v>
      </c>
      <c r="H1918" s="12"/>
      <c r="J1918">
        <f>1.6/0.15</f>
        <v>10.666666666666668</v>
      </c>
      <c r="K1918">
        <v>11</v>
      </c>
      <c r="L1918">
        <v>1.4</v>
      </c>
      <c r="M1918">
        <v>3.2810000000000001</v>
      </c>
      <c r="N1918">
        <v>0.66700000000000004</v>
      </c>
      <c r="O1918">
        <f>+K1918*L1918*M1918*N1918/100</f>
        <v>0.337017758</v>
      </c>
    </row>
    <row r="1919" spans="1:17">
      <c r="A1919" s="6"/>
      <c r="B1919" s="7"/>
      <c r="C1919" s="8"/>
      <c r="D1919" s="9"/>
      <c r="E1919" s="74"/>
      <c r="F1919" s="75"/>
      <c r="G1919" s="11"/>
      <c r="H1919" s="12"/>
      <c r="J1919">
        <f>1.4/0.15</f>
        <v>9.3333333333333339</v>
      </c>
      <c r="K1919">
        <v>9</v>
      </c>
      <c r="L1919">
        <v>1.6</v>
      </c>
      <c r="M1919">
        <v>3.2810000000000001</v>
      </c>
      <c r="N1919">
        <v>0.66700000000000004</v>
      </c>
      <c r="O1919">
        <f>+K1919*L1919*M1919*N1919/100</f>
        <v>0.31513348800000002</v>
      </c>
    </row>
    <row r="1920" spans="1:17">
      <c r="A1920" s="19"/>
      <c r="B1920" s="60" t="e">
        <f>+B1917</f>
        <v>#REF!</v>
      </c>
      <c r="C1920" s="65">
        <v>1</v>
      </c>
      <c r="D1920" s="57" t="s">
        <v>1492</v>
      </c>
      <c r="E1920" s="61">
        <v>4285</v>
      </c>
      <c r="F1920" s="61">
        <f>+E1920*0.18</f>
        <v>771.3</v>
      </c>
      <c r="G1920" s="17">
        <f>+C1920*E1920+C1920*F1920</f>
        <v>5056.3</v>
      </c>
      <c r="H1920" s="12"/>
      <c r="O1920">
        <f>SUM(O1918:O1919)</f>
        <v>0.65215124600000007</v>
      </c>
      <c r="P1920">
        <f>+O1920*1.05</f>
        <v>0.68475880830000013</v>
      </c>
      <c r="Q1920">
        <f>+P1920/J1917</f>
        <v>2.7288475357332628E-4</v>
      </c>
    </row>
    <row r="1921" spans="1:17" ht="15.75" thickBot="1">
      <c r="A1921" s="21"/>
      <c r="B1921" s="22"/>
      <c r="C1921" s="23"/>
      <c r="D1921" s="24" t="s">
        <v>111</v>
      </c>
      <c r="E1921" s="78"/>
      <c r="F1921" s="79"/>
      <c r="G1921" s="26">
        <f>SUM(G1920:G1920)</f>
        <v>5056.3</v>
      </c>
      <c r="H1921" s="27" t="s">
        <v>1492</v>
      </c>
    </row>
    <row r="1922" spans="1:17" ht="15.75" thickTop="1">
      <c r="B1922" s="55"/>
      <c r="J1922">
        <v>2500</v>
      </c>
    </row>
    <row r="1923" spans="1:17">
      <c r="A1923" s="64"/>
      <c r="B1923" s="370" t="e">
        <f>#REF!</f>
        <v>#REF!</v>
      </c>
      <c r="C1923" s="370"/>
      <c r="D1923" s="370"/>
      <c r="E1923" s="370"/>
      <c r="F1923" s="370"/>
      <c r="G1923" s="370"/>
      <c r="H1923" s="370"/>
      <c r="J1923">
        <f>SUM(J1919:J1922)</f>
        <v>2509.3333333333335</v>
      </c>
      <c r="K1923">
        <f>+J1923/11</f>
        <v>228.12121212121212</v>
      </c>
    </row>
    <row r="1924" spans="1:17">
      <c r="A1924" s="6"/>
      <c r="B1924" s="7"/>
      <c r="C1924" s="8" t="s">
        <v>98</v>
      </c>
      <c r="D1924" s="9" t="s">
        <v>39</v>
      </c>
      <c r="E1924" s="74" t="s">
        <v>99</v>
      </c>
      <c r="F1924" s="75" t="s">
        <v>100</v>
      </c>
      <c r="G1924" s="11" t="s">
        <v>101</v>
      </c>
      <c r="H1924" s="12"/>
      <c r="J1924">
        <f>1.6/0.15</f>
        <v>10.666666666666668</v>
      </c>
      <c r="K1924">
        <v>11</v>
      </c>
      <c r="L1924">
        <v>1.4</v>
      </c>
      <c r="M1924">
        <v>3.2810000000000001</v>
      </c>
      <c r="N1924">
        <v>0.66700000000000004</v>
      </c>
      <c r="O1924">
        <f>+K1924*L1924*M1924*N1924/100</f>
        <v>0.337017758</v>
      </c>
    </row>
    <row r="1925" spans="1:17">
      <c r="A1925" s="6"/>
      <c r="B1925" s="7"/>
      <c r="C1925" s="8"/>
      <c r="D1925" s="9"/>
      <c r="E1925" s="74"/>
      <c r="F1925" s="75"/>
      <c r="G1925" s="11"/>
      <c r="H1925" s="12"/>
      <c r="J1925">
        <f>1.4/0.15</f>
        <v>9.3333333333333339</v>
      </c>
      <c r="K1925">
        <v>9</v>
      </c>
      <c r="L1925">
        <v>1.6</v>
      </c>
      <c r="M1925">
        <v>3.2810000000000001</v>
      </c>
      <c r="N1925">
        <v>0.66700000000000004</v>
      </c>
      <c r="O1925">
        <f>+K1925*L1925*M1925*N1925/100</f>
        <v>0.31513348800000002</v>
      </c>
    </row>
    <row r="1926" spans="1:17">
      <c r="A1926" s="19"/>
      <c r="B1926" s="60" t="e">
        <f>+B1923</f>
        <v>#REF!</v>
      </c>
      <c r="C1926" s="65">
        <v>1</v>
      </c>
      <c r="D1926" s="57" t="s">
        <v>1492</v>
      </c>
      <c r="E1926" s="61">
        <f>50400/1.18</f>
        <v>42711.864406779663</v>
      </c>
      <c r="F1926" s="61">
        <f>+E1926*0.18</f>
        <v>7688.1355932203387</v>
      </c>
      <c r="G1926" s="17">
        <f>+C1926*E1926+C1926*F1926</f>
        <v>50400</v>
      </c>
      <c r="H1926" s="12"/>
      <c r="O1926">
        <f>SUM(O1924:O1925)</f>
        <v>0.65215124600000007</v>
      </c>
      <c r="P1926">
        <f>+O1926*1.05</f>
        <v>0.68475880830000013</v>
      </c>
      <c r="Q1926">
        <f>+P1926/J1923</f>
        <v>2.7288475357332628E-4</v>
      </c>
    </row>
    <row r="1927" spans="1:17" ht="15.75" thickBot="1">
      <c r="A1927" s="21"/>
      <c r="B1927" s="22"/>
      <c r="C1927" s="23"/>
      <c r="D1927" s="24" t="s">
        <v>111</v>
      </c>
      <c r="E1927" s="78"/>
      <c r="F1927" s="79"/>
      <c r="G1927" s="26">
        <f>SUM(G1926:G1926)</f>
        <v>50400</v>
      </c>
      <c r="H1927" s="27" t="s">
        <v>1492</v>
      </c>
    </row>
    <row r="1928" spans="1:17" ht="15.75" thickTop="1">
      <c r="B1928" s="55"/>
      <c r="J1928">
        <v>2500</v>
      </c>
    </row>
    <row r="1929" spans="1:17">
      <c r="A1929" s="64"/>
      <c r="B1929" s="370" t="e">
        <f>#REF!</f>
        <v>#REF!</v>
      </c>
      <c r="C1929" s="370"/>
      <c r="D1929" s="370"/>
      <c r="E1929" s="370"/>
      <c r="F1929" s="370"/>
      <c r="G1929" s="370"/>
      <c r="H1929" s="370"/>
      <c r="J1929">
        <f>SUM(J1925:J1928)</f>
        <v>2509.3333333333335</v>
      </c>
      <c r="K1929">
        <f>+J1929/11</f>
        <v>228.12121212121212</v>
      </c>
    </row>
    <row r="1930" spans="1:17">
      <c r="A1930" s="6"/>
      <c r="B1930" s="7"/>
      <c r="C1930" s="8" t="s">
        <v>98</v>
      </c>
      <c r="D1930" s="9" t="s">
        <v>39</v>
      </c>
      <c r="E1930" s="74" t="s">
        <v>99</v>
      </c>
      <c r="F1930" s="75" t="s">
        <v>100</v>
      </c>
      <c r="G1930" s="11" t="s">
        <v>101</v>
      </c>
      <c r="H1930" s="12"/>
      <c r="J1930">
        <f>1.6/0.15</f>
        <v>10.666666666666668</v>
      </c>
      <c r="K1930">
        <v>11</v>
      </c>
      <c r="L1930">
        <v>1.4</v>
      </c>
      <c r="M1930">
        <v>3.2810000000000001</v>
      </c>
      <c r="N1930">
        <v>0.66700000000000004</v>
      </c>
      <c r="O1930">
        <f>+K1930*L1930*M1930*N1930/100</f>
        <v>0.337017758</v>
      </c>
    </row>
    <row r="1931" spans="1:17">
      <c r="A1931" s="6"/>
      <c r="B1931" s="7"/>
      <c r="C1931" s="8"/>
      <c r="D1931" s="9"/>
      <c r="E1931" s="74"/>
      <c r="F1931" s="75"/>
      <c r="G1931" s="11"/>
      <c r="H1931" s="12"/>
      <c r="J1931">
        <f>1.4/0.15</f>
        <v>9.3333333333333339</v>
      </c>
      <c r="K1931">
        <v>9</v>
      </c>
      <c r="L1931">
        <v>1.6</v>
      </c>
      <c r="M1931">
        <v>3.2810000000000001</v>
      </c>
      <c r="N1931">
        <v>0.66700000000000004</v>
      </c>
      <c r="O1931">
        <f>+K1931*L1931*M1931*N1931/100</f>
        <v>0.31513348800000002</v>
      </c>
    </row>
    <row r="1932" spans="1:17">
      <c r="A1932" s="19"/>
      <c r="B1932" s="60" t="e">
        <f>+B1929</f>
        <v>#REF!</v>
      </c>
      <c r="C1932" s="65">
        <v>1</v>
      </c>
      <c r="D1932" s="57" t="s">
        <v>1492</v>
      </c>
      <c r="E1932" s="61">
        <f>23200/1.18</f>
        <v>19661.016949152545</v>
      </c>
      <c r="F1932" s="61">
        <f>+E1932*0.18</f>
        <v>3538.9830508474579</v>
      </c>
      <c r="G1932" s="17">
        <f>+C1932*E1932+C1932*F1932</f>
        <v>23200.000000000004</v>
      </c>
      <c r="H1932" s="12"/>
      <c r="O1932">
        <f>SUM(O1930:O1931)</f>
        <v>0.65215124600000007</v>
      </c>
      <c r="P1932">
        <f>+O1932*1.05</f>
        <v>0.68475880830000013</v>
      </c>
      <c r="Q1932">
        <f>+P1932/J1929</f>
        <v>2.7288475357332628E-4</v>
      </c>
    </row>
    <row r="1933" spans="1:17" ht="15.75" thickBot="1">
      <c r="A1933" s="21"/>
      <c r="B1933" s="22"/>
      <c r="C1933" s="23"/>
      <c r="D1933" s="24" t="s">
        <v>111</v>
      </c>
      <c r="E1933" s="78"/>
      <c r="F1933" s="79"/>
      <c r="G1933" s="26">
        <f>SUM(G1932:G1932)</f>
        <v>23200.000000000004</v>
      </c>
      <c r="H1933" s="27" t="s">
        <v>1492</v>
      </c>
    </row>
    <row r="1934" spans="1:17" ht="15.75" thickTop="1">
      <c r="B1934" s="55"/>
      <c r="J1934">
        <v>1500</v>
      </c>
    </row>
    <row r="1935" spans="1:17">
      <c r="A1935" s="53"/>
      <c r="B1935" s="53" t="e">
        <f>#REF!</f>
        <v>#REF!</v>
      </c>
      <c r="C1935" s="54"/>
      <c r="D1935" s="54"/>
      <c r="E1935" s="72"/>
      <c r="F1935" s="72"/>
      <c r="G1935" s="54"/>
      <c r="H1935" s="54"/>
      <c r="J1935">
        <v>5500</v>
      </c>
    </row>
    <row r="1936" spans="1:17">
      <c r="B1936" s="55"/>
      <c r="J1936">
        <v>2500</v>
      </c>
    </row>
    <row r="1937" spans="1:17">
      <c r="A1937" s="64"/>
      <c r="B1937" s="370" t="e">
        <f>#REF!</f>
        <v>#REF!</v>
      </c>
      <c r="C1937" s="370"/>
      <c r="D1937" s="370"/>
      <c r="E1937" s="370"/>
      <c r="F1937" s="370"/>
      <c r="G1937" s="370"/>
      <c r="H1937" s="370"/>
      <c r="J1937">
        <f>SUM(J1933:J1936)</f>
        <v>9500</v>
      </c>
      <c r="K1937">
        <f>+J1937/11</f>
        <v>863.63636363636363</v>
      </c>
    </row>
    <row r="1938" spans="1:17">
      <c r="A1938" s="6"/>
      <c r="B1938" s="7"/>
      <c r="C1938" s="8" t="s">
        <v>98</v>
      </c>
      <c r="D1938" s="9" t="s">
        <v>39</v>
      </c>
      <c r="E1938" s="74" t="s">
        <v>99</v>
      </c>
      <c r="F1938" s="75" t="s">
        <v>100</v>
      </c>
      <c r="G1938" s="11" t="s">
        <v>101</v>
      </c>
      <c r="H1938" s="12"/>
      <c r="J1938">
        <f>1.6/0.15</f>
        <v>10.666666666666668</v>
      </c>
      <c r="K1938">
        <v>11</v>
      </c>
      <c r="L1938">
        <v>1.4</v>
      </c>
      <c r="M1938">
        <v>3.2810000000000001</v>
      </c>
      <c r="N1938">
        <v>0.66700000000000004</v>
      </c>
      <c r="O1938">
        <f>+K1938*L1938*M1938*N1938/100</f>
        <v>0.337017758</v>
      </c>
    </row>
    <row r="1939" spans="1:17">
      <c r="A1939" s="6"/>
      <c r="B1939" s="7"/>
      <c r="C1939" s="8"/>
      <c r="D1939" s="9"/>
      <c r="E1939" s="74"/>
      <c r="F1939" s="75"/>
      <c r="G1939" s="11"/>
      <c r="H1939" s="12"/>
      <c r="J1939">
        <f>1.4/0.15</f>
        <v>9.3333333333333339</v>
      </c>
      <c r="K1939">
        <v>9</v>
      </c>
      <c r="L1939">
        <v>1.6</v>
      </c>
      <c r="M1939">
        <v>3.2810000000000001</v>
      </c>
      <c r="N1939">
        <v>0.66700000000000004</v>
      </c>
      <c r="O1939">
        <f>+K1939*L1939*M1939*N1939/100</f>
        <v>0.31513348800000002</v>
      </c>
    </row>
    <row r="1940" spans="1:17">
      <c r="A1940" s="19"/>
      <c r="B1940" s="60" t="e">
        <f>+B1937</f>
        <v>#REF!</v>
      </c>
      <c r="C1940" s="65">
        <v>1</v>
      </c>
      <c r="D1940" s="57" t="s">
        <v>1492</v>
      </c>
      <c r="E1940" s="61">
        <f>550749.38/1.18</f>
        <v>466736.76271186443</v>
      </c>
      <c r="F1940" s="61">
        <f>+E1940*0.18</f>
        <v>84012.617288135589</v>
      </c>
      <c r="G1940" s="17">
        <f>+C1940*E1940+C1940*F1940</f>
        <v>550749.38</v>
      </c>
      <c r="H1940" s="12"/>
      <c r="O1940">
        <f>SUM(O1938:O1939)</f>
        <v>0.65215124600000007</v>
      </c>
      <c r="P1940">
        <f>+O1940*1.05</f>
        <v>0.68475880830000013</v>
      </c>
      <c r="Q1940">
        <f>+P1940/J1937</f>
        <v>7.2079874557894757E-5</v>
      </c>
    </row>
    <row r="1941" spans="1:17" ht="15.75" thickBot="1">
      <c r="A1941" s="21"/>
      <c r="B1941" s="22"/>
      <c r="C1941" s="23"/>
      <c r="D1941" s="24" t="s">
        <v>111</v>
      </c>
      <c r="E1941" s="78"/>
      <c r="F1941" s="79"/>
      <c r="G1941" s="26">
        <f>SUM(G1940:G1940)</f>
        <v>550749.38</v>
      </c>
      <c r="H1941" s="27" t="s">
        <v>1492</v>
      </c>
    </row>
    <row r="1942" spans="1:17" ht="15.75" thickTop="1">
      <c r="B1942" s="55"/>
      <c r="J1942">
        <v>2500</v>
      </c>
    </row>
    <row r="1943" spans="1:17">
      <c r="A1943" s="64"/>
      <c r="B1943" s="370" t="e">
        <f>#REF!</f>
        <v>#REF!</v>
      </c>
      <c r="C1943" s="370"/>
      <c r="D1943" s="370"/>
      <c r="E1943" s="370"/>
      <c r="F1943" s="370"/>
      <c r="G1943" s="370"/>
      <c r="H1943" s="370"/>
      <c r="J1943">
        <f>SUM(J1939:J1942)</f>
        <v>2509.3333333333335</v>
      </c>
      <c r="K1943">
        <f>+J1943/11</f>
        <v>228.12121212121212</v>
      </c>
    </row>
    <row r="1944" spans="1:17">
      <c r="A1944" s="6"/>
      <c r="B1944" s="7"/>
      <c r="C1944" s="8" t="s">
        <v>98</v>
      </c>
      <c r="D1944" s="9" t="s">
        <v>39</v>
      </c>
      <c r="E1944" s="74" t="s">
        <v>99</v>
      </c>
      <c r="F1944" s="75" t="s">
        <v>100</v>
      </c>
      <c r="G1944" s="11" t="s">
        <v>101</v>
      </c>
      <c r="H1944" s="12"/>
      <c r="J1944">
        <f>1.6/0.15</f>
        <v>10.666666666666668</v>
      </c>
      <c r="K1944">
        <v>11</v>
      </c>
      <c r="L1944">
        <v>1.4</v>
      </c>
      <c r="M1944">
        <v>3.2810000000000001</v>
      </c>
      <c r="N1944">
        <v>0.66700000000000004</v>
      </c>
      <c r="O1944">
        <f>+K1944*L1944*M1944*N1944/100</f>
        <v>0.337017758</v>
      </c>
    </row>
    <row r="1945" spans="1:17">
      <c r="A1945" s="6"/>
      <c r="B1945" s="7"/>
      <c r="C1945" s="8"/>
      <c r="D1945" s="9"/>
      <c r="E1945" s="74"/>
      <c r="F1945" s="75"/>
      <c r="G1945" s="11"/>
      <c r="H1945" s="12"/>
      <c r="J1945">
        <f>1.4/0.15</f>
        <v>9.3333333333333339</v>
      </c>
      <c r="K1945">
        <v>9</v>
      </c>
      <c r="L1945">
        <v>1.6</v>
      </c>
      <c r="M1945">
        <v>3.2810000000000001</v>
      </c>
      <c r="N1945">
        <v>0.66700000000000004</v>
      </c>
      <c r="O1945">
        <f>+K1945*L1945*M1945*N1945/100</f>
        <v>0.31513348800000002</v>
      </c>
    </row>
    <row r="1946" spans="1:17">
      <c r="A1946" s="19"/>
      <c r="B1946" s="60" t="e">
        <f>+B1943</f>
        <v>#REF!</v>
      </c>
      <c r="C1946" s="65">
        <v>1</v>
      </c>
      <c r="D1946" s="57" t="s">
        <v>1492</v>
      </c>
      <c r="E1946" s="61">
        <f>135400/1.18</f>
        <v>114745.76271186442</v>
      </c>
      <c r="F1946" s="61">
        <f>+E1946*0.18</f>
        <v>20654.237288135595</v>
      </c>
      <c r="G1946" s="17">
        <f>+C1946*E1946+C1946*F1946</f>
        <v>135400</v>
      </c>
      <c r="H1946" s="12"/>
      <c r="O1946">
        <f>SUM(O1944:O1945)</f>
        <v>0.65215124600000007</v>
      </c>
      <c r="P1946">
        <f>+O1946*1.05</f>
        <v>0.68475880830000013</v>
      </c>
      <c r="Q1946">
        <f>+P1946/J1943</f>
        <v>2.7288475357332628E-4</v>
      </c>
    </row>
    <row r="1947" spans="1:17" ht="15.75" thickBot="1">
      <c r="A1947" s="21"/>
      <c r="B1947" s="22"/>
      <c r="C1947" s="23"/>
      <c r="D1947" s="24" t="s">
        <v>111</v>
      </c>
      <c r="E1947" s="78"/>
      <c r="F1947" s="79"/>
      <c r="G1947" s="26">
        <f>SUM(G1946:G1946)</f>
        <v>135400</v>
      </c>
      <c r="H1947" s="27" t="s">
        <v>1492</v>
      </c>
    </row>
    <row r="1948" spans="1:17" ht="15.75" thickTop="1">
      <c r="B1948" s="55"/>
      <c r="J1948">
        <v>2500</v>
      </c>
    </row>
    <row r="1949" spans="1:17">
      <c r="A1949" s="64"/>
      <c r="B1949" s="370" t="e">
        <f>#REF!</f>
        <v>#REF!</v>
      </c>
      <c r="C1949" s="370"/>
      <c r="D1949" s="370"/>
      <c r="E1949" s="370"/>
      <c r="F1949" s="370"/>
      <c r="G1949" s="370"/>
      <c r="H1949" s="370"/>
      <c r="J1949">
        <f>SUM(J1945:J1948)</f>
        <v>2509.3333333333335</v>
      </c>
      <c r="K1949">
        <f>+J1949/11</f>
        <v>228.12121212121212</v>
      </c>
    </row>
    <row r="1950" spans="1:17">
      <c r="A1950" s="6"/>
      <c r="B1950" s="7"/>
      <c r="C1950" s="8" t="s">
        <v>98</v>
      </c>
      <c r="D1950" s="9" t="s">
        <v>39</v>
      </c>
      <c r="E1950" s="74" t="s">
        <v>99</v>
      </c>
      <c r="F1950" s="75" t="s">
        <v>100</v>
      </c>
      <c r="G1950" s="11" t="s">
        <v>101</v>
      </c>
      <c r="H1950" s="12"/>
      <c r="J1950">
        <f>1.6/0.15</f>
        <v>10.666666666666668</v>
      </c>
      <c r="K1950">
        <v>11</v>
      </c>
      <c r="L1950">
        <v>1.4</v>
      </c>
      <c r="M1950">
        <v>3.2810000000000001</v>
      </c>
      <c r="N1950">
        <v>0.66700000000000004</v>
      </c>
      <c r="O1950">
        <f>+K1950*L1950*M1950*N1950/100</f>
        <v>0.337017758</v>
      </c>
    </row>
    <row r="1951" spans="1:17">
      <c r="A1951" s="6"/>
      <c r="B1951" s="7"/>
      <c r="C1951" s="8"/>
      <c r="D1951" s="9"/>
      <c r="E1951" s="74"/>
      <c r="F1951" s="75"/>
      <c r="G1951" s="11"/>
      <c r="H1951" s="12"/>
      <c r="J1951">
        <f>1.4/0.15</f>
        <v>9.3333333333333339</v>
      </c>
      <c r="K1951">
        <v>9</v>
      </c>
      <c r="L1951">
        <v>1.6</v>
      </c>
      <c r="M1951">
        <v>3.2810000000000001</v>
      </c>
      <c r="N1951">
        <v>0.66700000000000004</v>
      </c>
      <c r="O1951">
        <f>+K1951*L1951*M1951*N1951/100</f>
        <v>0.31513348800000002</v>
      </c>
    </row>
    <row r="1952" spans="1:17">
      <c r="A1952" s="19"/>
      <c r="B1952" s="60" t="e">
        <f>+B1949</f>
        <v>#REF!</v>
      </c>
      <c r="C1952" s="65">
        <v>1</v>
      </c>
      <c r="D1952" s="57" t="s">
        <v>1492</v>
      </c>
      <c r="E1952" s="61">
        <f>128600/1.18</f>
        <v>108983.05084745763</v>
      </c>
      <c r="F1952" s="61">
        <f>+E1952*0.18</f>
        <v>19616.949152542373</v>
      </c>
      <c r="G1952" s="17">
        <f>+C1952*E1952+C1952*F1952</f>
        <v>128600</v>
      </c>
      <c r="H1952" s="12"/>
      <c r="O1952">
        <f>SUM(O1950:O1951)</f>
        <v>0.65215124600000007</v>
      </c>
      <c r="P1952">
        <f>+O1952*1.05</f>
        <v>0.68475880830000013</v>
      </c>
      <c r="Q1952">
        <f>+P1952/J1949</f>
        <v>2.7288475357332628E-4</v>
      </c>
    </row>
    <row r="1953" spans="1:17" ht="15.75" thickBot="1">
      <c r="A1953" s="21"/>
      <c r="B1953" s="22"/>
      <c r="C1953" s="23"/>
      <c r="D1953" s="24" t="s">
        <v>111</v>
      </c>
      <c r="E1953" s="78"/>
      <c r="F1953" s="79"/>
      <c r="G1953" s="26">
        <f>SUM(G1952:G1952)</f>
        <v>128600</v>
      </c>
      <c r="H1953" s="27" t="s">
        <v>1492</v>
      </c>
    </row>
    <row r="1954" spans="1:17" ht="15.75" thickTop="1">
      <c r="B1954" s="55"/>
      <c r="J1954">
        <v>2500</v>
      </c>
    </row>
    <row r="1955" spans="1:17">
      <c r="A1955" s="64"/>
      <c r="B1955" s="370" t="e">
        <f>#REF!</f>
        <v>#REF!</v>
      </c>
      <c r="C1955" s="370"/>
      <c r="D1955" s="370"/>
      <c r="E1955" s="370"/>
      <c r="F1955" s="370"/>
      <c r="G1955" s="370"/>
      <c r="H1955" s="370"/>
      <c r="J1955">
        <f>SUM(J1951:J1954)</f>
        <v>2509.3333333333335</v>
      </c>
      <c r="K1955">
        <f>+J1955/11</f>
        <v>228.12121212121212</v>
      </c>
    </row>
    <row r="1956" spans="1:17">
      <c r="A1956" s="6"/>
      <c r="B1956" s="7"/>
      <c r="C1956" s="8" t="s">
        <v>98</v>
      </c>
      <c r="D1956" s="9" t="s">
        <v>39</v>
      </c>
      <c r="E1956" s="74" t="s">
        <v>99</v>
      </c>
      <c r="F1956" s="75" t="s">
        <v>100</v>
      </c>
      <c r="G1956" s="11" t="s">
        <v>101</v>
      </c>
      <c r="H1956" s="12"/>
      <c r="J1956">
        <f>1.6/0.15</f>
        <v>10.666666666666668</v>
      </c>
      <c r="K1956">
        <v>11</v>
      </c>
      <c r="L1956">
        <v>1.4</v>
      </c>
      <c r="M1956">
        <v>3.2810000000000001</v>
      </c>
      <c r="N1956">
        <v>0.66700000000000004</v>
      </c>
      <c r="O1956">
        <f>+K1956*L1956*M1956*N1956/100</f>
        <v>0.337017758</v>
      </c>
    </row>
    <row r="1957" spans="1:17">
      <c r="A1957" s="6"/>
      <c r="B1957" s="7"/>
      <c r="C1957" s="8"/>
      <c r="D1957" s="9"/>
      <c r="E1957" s="74"/>
      <c r="F1957" s="75"/>
      <c r="G1957" s="11"/>
      <c r="H1957" s="12"/>
      <c r="J1957">
        <f>1.4/0.15</f>
        <v>9.3333333333333339</v>
      </c>
      <c r="K1957">
        <v>9</v>
      </c>
      <c r="L1957">
        <v>1.6</v>
      </c>
      <c r="M1957">
        <v>3.2810000000000001</v>
      </c>
      <c r="N1957">
        <v>0.66700000000000004</v>
      </c>
      <c r="O1957">
        <f>+K1957*L1957*M1957*N1957/100</f>
        <v>0.31513348800000002</v>
      </c>
    </row>
    <row r="1958" spans="1:17">
      <c r="A1958" s="19"/>
      <c r="B1958" s="60" t="e">
        <f>+B1955</f>
        <v>#REF!</v>
      </c>
      <c r="C1958" s="65">
        <v>1</v>
      </c>
      <c r="D1958" s="57" t="s">
        <v>1492</v>
      </c>
      <c r="E1958" s="61">
        <f>87084.12/1.18</f>
        <v>73800.101694915254</v>
      </c>
      <c r="F1958" s="61">
        <f>+E1958*0.18</f>
        <v>13284.018305084744</v>
      </c>
      <c r="G1958" s="17">
        <f>+C1958*E1958+C1958*F1958</f>
        <v>87084.12</v>
      </c>
      <c r="H1958" s="12"/>
      <c r="O1958">
        <f>SUM(O1956:O1957)</f>
        <v>0.65215124600000007</v>
      </c>
      <c r="P1958">
        <f>+O1958*1.05</f>
        <v>0.68475880830000013</v>
      </c>
      <c r="Q1958">
        <f>+P1958/J1955</f>
        <v>2.7288475357332628E-4</v>
      </c>
    </row>
    <row r="1959" spans="1:17" ht="15.75" thickBot="1">
      <c r="A1959" s="21"/>
      <c r="B1959" s="22"/>
      <c r="C1959" s="23"/>
      <c r="D1959" s="24" t="s">
        <v>111</v>
      </c>
      <c r="E1959" s="78"/>
      <c r="F1959" s="79"/>
      <c r="G1959" s="26">
        <f>SUM(G1958:G1958)</f>
        <v>87084.12</v>
      </c>
      <c r="H1959" s="27" t="s">
        <v>1492</v>
      </c>
    </row>
    <row r="1960" spans="1:17" ht="15.75" thickTop="1">
      <c r="B1960" s="55"/>
      <c r="J1960">
        <v>2500</v>
      </c>
    </row>
    <row r="1961" spans="1:17">
      <c r="A1961" s="64"/>
      <c r="B1961" s="370" t="e">
        <f>#REF!</f>
        <v>#REF!</v>
      </c>
      <c r="C1961" s="370"/>
      <c r="D1961" s="370"/>
      <c r="E1961" s="370"/>
      <c r="F1961" s="370"/>
      <c r="G1961" s="370"/>
      <c r="H1961" s="370"/>
      <c r="J1961">
        <f>SUM(J1957:J1960)</f>
        <v>2509.3333333333335</v>
      </c>
      <c r="K1961">
        <f>+J1961/11</f>
        <v>228.12121212121212</v>
      </c>
    </row>
    <row r="1962" spans="1:17">
      <c r="A1962" s="6"/>
      <c r="B1962" s="7"/>
      <c r="C1962" s="8" t="s">
        <v>98</v>
      </c>
      <c r="D1962" s="9" t="s">
        <v>39</v>
      </c>
      <c r="E1962" s="74" t="s">
        <v>99</v>
      </c>
      <c r="F1962" s="75" t="s">
        <v>100</v>
      </c>
      <c r="G1962" s="11" t="s">
        <v>101</v>
      </c>
      <c r="H1962" s="12"/>
      <c r="J1962">
        <f>1.6/0.15</f>
        <v>10.666666666666668</v>
      </c>
      <c r="K1962">
        <v>11</v>
      </c>
      <c r="L1962">
        <v>1.4</v>
      </c>
      <c r="M1962">
        <v>3.2810000000000001</v>
      </c>
      <c r="N1962">
        <v>0.66700000000000004</v>
      </c>
      <c r="O1962">
        <f>+K1962*L1962*M1962*N1962/100</f>
        <v>0.337017758</v>
      </c>
    </row>
    <row r="1963" spans="1:17">
      <c r="A1963" s="6"/>
      <c r="B1963" s="7"/>
      <c r="C1963" s="8"/>
      <c r="D1963" s="9"/>
      <c r="E1963" s="74"/>
      <c r="F1963" s="75"/>
      <c r="G1963" s="11"/>
      <c r="H1963" s="12"/>
      <c r="J1963">
        <f>1.4/0.15</f>
        <v>9.3333333333333339</v>
      </c>
      <c r="K1963">
        <v>9</v>
      </c>
      <c r="L1963">
        <v>1.6</v>
      </c>
      <c r="M1963">
        <v>3.2810000000000001</v>
      </c>
      <c r="N1963">
        <v>0.66700000000000004</v>
      </c>
      <c r="O1963">
        <f>+K1963*L1963*M1963*N1963/100</f>
        <v>0.31513348800000002</v>
      </c>
    </row>
    <row r="1964" spans="1:17">
      <c r="A1964" s="19"/>
      <c r="B1964" s="60" t="e">
        <f>+B1961</f>
        <v>#REF!</v>
      </c>
      <c r="C1964" s="65">
        <v>1</v>
      </c>
      <c r="D1964" s="57" t="s">
        <v>1492</v>
      </c>
      <c r="E1964" s="61">
        <f>101400/1.18</f>
        <v>85932.203389830509</v>
      </c>
      <c r="F1964" s="61">
        <f>+E1964*0.18</f>
        <v>15467.796610169491</v>
      </c>
      <c r="G1964" s="17">
        <f>+C1964*E1964+C1964*F1964</f>
        <v>101400</v>
      </c>
      <c r="H1964" s="12"/>
      <c r="O1964">
        <f>SUM(O1962:O1963)</f>
        <v>0.65215124600000007</v>
      </c>
      <c r="P1964">
        <f>+O1964*1.05</f>
        <v>0.68475880830000013</v>
      </c>
      <c r="Q1964">
        <f>+P1964/J1961</f>
        <v>2.7288475357332628E-4</v>
      </c>
    </row>
    <row r="1965" spans="1:17" ht="15.75" thickBot="1">
      <c r="A1965" s="21"/>
      <c r="B1965" s="22"/>
      <c r="C1965" s="23"/>
      <c r="D1965" s="24" t="s">
        <v>111</v>
      </c>
      <c r="E1965" s="78"/>
      <c r="F1965" s="79"/>
      <c r="G1965" s="26">
        <f>SUM(G1964:G1964)</f>
        <v>101400</v>
      </c>
      <c r="H1965" s="27" t="s">
        <v>1492</v>
      </c>
    </row>
    <row r="1966" spans="1:17" ht="15.75" thickTop="1">
      <c r="B1966" s="55"/>
    </row>
  </sheetData>
  <mergeCells count="236">
    <mergeCell ref="B753:H753"/>
    <mergeCell ref="B1961:H1961"/>
    <mergeCell ref="B1825:H1825"/>
    <mergeCell ref="B1831:H1831"/>
    <mergeCell ref="B1839:H1839"/>
    <mergeCell ref="B1847:H1847"/>
    <mergeCell ref="B1853:H1853"/>
    <mergeCell ref="B1863:H1863"/>
    <mergeCell ref="B1869:H1869"/>
    <mergeCell ref="B1875:H1875"/>
    <mergeCell ref="B1881:H1881"/>
    <mergeCell ref="B1887:H1887"/>
    <mergeCell ref="B1893:H1893"/>
    <mergeCell ref="B1899:H1899"/>
    <mergeCell ref="B1905:H1905"/>
    <mergeCell ref="B1911:H1911"/>
    <mergeCell ref="B1917:H1917"/>
    <mergeCell ref="B1923:H1923"/>
    <mergeCell ref="B1929:H1929"/>
    <mergeCell ref="B1937:H1937"/>
    <mergeCell ref="B1943:H1943"/>
    <mergeCell ref="B1949:H1949"/>
    <mergeCell ref="B1955:H1955"/>
    <mergeCell ref="B888:H888"/>
    <mergeCell ref="B897:H897"/>
    <mergeCell ref="B996:H996"/>
    <mergeCell ref="B1013:H1013"/>
    <mergeCell ref="B941:H941"/>
    <mergeCell ref="B958:H958"/>
    <mergeCell ref="B1084:H1084"/>
    <mergeCell ref="B1415:H1415"/>
    <mergeCell ref="B1076:H1076"/>
    <mergeCell ref="B1328:H1328"/>
    <mergeCell ref="B1358:H1358"/>
    <mergeCell ref="B1373:H1373"/>
    <mergeCell ref="B1110:H1110"/>
    <mergeCell ref="B1122:H1122"/>
    <mergeCell ref="B1233:H1233"/>
    <mergeCell ref="B1386:H1386"/>
    <mergeCell ref="B1391:H1391"/>
    <mergeCell ref="B1396:H1396"/>
    <mergeCell ref="B1381:H1381"/>
    <mergeCell ref="B1092:H1092"/>
    <mergeCell ref="B1104:H1104"/>
    <mergeCell ref="B1097:H1097"/>
    <mergeCell ref="B1154:H1154"/>
    <mergeCell ref="B1175:H1175"/>
    <mergeCell ref="B1191:H1191"/>
    <mergeCell ref="A1:H1"/>
    <mergeCell ref="B373:H373"/>
    <mergeCell ref="B620:H620"/>
    <mergeCell ref="B32:H32"/>
    <mergeCell ref="B99:H99"/>
    <mergeCell ref="B63:H63"/>
    <mergeCell ref="B527:H527"/>
    <mergeCell ref="B508:H508"/>
    <mergeCell ref="B77:H77"/>
    <mergeCell ref="B147:H147"/>
    <mergeCell ref="B118:H118"/>
    <mergeCell ref="B256:H256"/>
    <mergeCell ref="B357:H357"/>
    <mergeCell ref="B330:H330"/>
    <mergeCell ref="B548:H548"/>
    <mergeCell ref="B180:H180"/>
    <mergeCell ref="B38:H38"/>
    <mergeCell ref="B110:H110"/>
    <mergeCell ref="B126:H126"/>
    <mergeCell ref="B158:H158"/>
    <mergeCell ref="B169:H169"/>
    <mergeCell ref="B84:H84"/>
    <mergeCell ref="B5:H5"/>
    <mergeCell ref="B11:H11"/>
    <mergeCell ref="B735:H735"/>
    <mergeCell ref="B776:H776"/>
    <mergeCell ref="B822:H822"/>
    <mergeCell ref="B854:H854"/>
    <mergeCell ref="B657:H657"/>
    <mergeCell ref="B675:H675"/>
    <mergeCell ref="B695:H695"/>
    <mergeCell ref="B246:H246"/>
    <mergeCell ref="B284:H284"/>
    <mergeCell ref="B806:H806"/>
    <mergeCell ref="B557:H557"/>
    <mergeCell ref="B578:H578"/>
    <mergeCell ref="B648:H648"/>
    <mergeCell ref="B571:H571"/>
    <mergeCell ref="B593:H593"/>
    <mergeCell ref="B534:H534"/>
    <mergeCell ref="B799:H799"/>
    <mergeCell ref="B583:H583"/>
    <mergeCell ref="B765:H765"/>
    <mergeCell ref="B717:H717"/>
    <mergeCell ref="B743:H743"/>
    <mergeCell ref="B783:H783"/>
    <mergeCell ref="B789:H789"/>
    <mergeCell ref="B727:H727"/>
    <mergeCell ref="B381:H381"/>
    <mergeCell ref="B389:H389"/>
    <mergeCell ref="B399:H399"/>
    <mergeCell ref="B406:H406"/>
    <mergeCell ref="B191:H191"/>
    <mergeCell ref="B202:H202"/>
    <mergeCell ref="B224:H224"/>
    <mergeCell ref="B213:H213"/>
    <mergeCell ref="B235:H235"/>
    <mergeCell ref="B45:H45"/>
    <mergeCell ref="B25:H25"/>
    <mergeCell ref="B17:H17"/>
    <mergeCell ref="B348:H348"/>
    <mergeCell ref="B339:H339"/>
    <mergeCell ref="B365:H365"/>
    <mergeCell ref="B265:H265"/>
    <mergeCell ref="B275:H275"/>
    <mergeCell ref="B295:H295"/>
    <mergeCell ref="B306:H306"/>
    <mergeCell ref="B317:H317"/>
    <mergeCell ref="B53:H53"/>
    <mergeCell ref="B137:H137"/>
    <mergeCell ref="B70:H70"/>
    <mergeCell ref="B635:H635"/>
    <mergeCell ref="B641:H641"/>
    <mergeCell ref="B415:H415"/>
    <mergeCell ref="B448:H448"/>
    <mergeCell ref="B539:H539"/>
    <mergeCell ref="B605:H605"/>
    <mergeCell ref="B610:H610"/>
    <mergeCell ref="B437:H437"/>
    <mergeCell ref="B459:H459"/>
    <mergeCell ref="B615:H615"/>
    <mergeCell ref="B485:H485"/>
    <mergeCell ref="B478:H478"/>
    <mergeCell ref="B522:H522"/>
    <mergeCell ref="B566:H566"/>
    <mergeCell ref="B470:H470"/>
    <mergeCell ref="B515:H515"/>
    <mergeCell ref="B426:H426"/>
    <mergeCell ref="B500:H500"/>
    <mergeCell ref="B588:H588"/>
    <mergeCell ref="B598:H598"/>
    <mergeCell ref="B1422:H1422"/>
    <mergeCell ref="B1429:H1429"/>
    <mergeCell ref="B1438:H1438"/>
    <mergeCell ref="B1256:H1256"/>
    <mergeCell ref="B1292:H1292"/>
    <mergeCell ref="B1339:H1339"/>
    <mergeCell ref="B1245:H1245"/>
    <mergeCell ref="B1214:H1214"/>
    <mergeCell ref="B1209:H1209"/>
    <mergeCell ref="C1371:F1371"/>
    <mergeCell ref="B1363:H1363"/>
    <mergeCell ref="B1305:H1305"/>
    <mergeCell ref="B1317:H1317"/>
    <mergeCell ref="B1350:H1350"/>
    <mergeCell ref="B1117:H1117"/>
    <mergeCell ref="B1401:H1401"/>
    <mergeCell ref="B1407:H1407"/>
    <mergeCell ref="B1221:H1221"/>
    <mergeCell ref="B1280:H1280"/>
    <mergeCell ref="B1268:H1268"/>
    <mergeCell ref="B1162:H1162"/>
    <mergeCell ref="B1135:H1135"/>
    <mergeCell ref="B1129:H1129"/>
    <mergeCell ref="B1142:H1142"/>
    <mergeCell ref="B1148:H1148"/>
    <mergeCell ref="B1200:H1200"/>
    <mergeCell ref="B812:H812"/>
    <mergeCell ref="B842:H842"/>
    <mergeCell ref="B832:H832"/>
    <mergeCell ref="B1022:H1022"/>
    <mergeCell ref="B1039:H1039"/>
    <mergeCell ref="B1028:H1028"/>
    <mergeCell ref="B1050:H1050"/>
    <mergeCell ref="B1067:H1067"/>
    <mergeCell ref="B1058:H1058"/>
    <mergeCell ref="B1004:H1004"/>
    <mergeCell ref="B948:H948"/>
    <mergeCell ref="B973:H973"/>
    <mergeCell ref="B980:H980"/>
    <mergeCell ref="B987:H987"/>
    <mergeCell ref="B882:H882"/>
    <mergeCell ref="B917:H917"/>
    <mergeCell ref="B926:H926"/>
    <mergeCell ref="B933:H933"/>
    <mergeCell ref="B953:H953"/>
    <mergeCell ref="B963:H963"/>
    <mergeCell ref="B873:H873"/>
    <mergeCell ref="B859:H859"/>
    <mergeCell ref="B866:H866"/>
    <mergeCell ref="B906:H906"/>
    <mergeCell ref="B1519:H1519"/>
    <mergeCell ref="B1506:H1506"/>
    <mergeCell ref="B1468:H1468"/>
    <mergeCell ref="B1485:H1485"/>
    <mergeCell ref="B1493:H1493"/>
    <mergeCell ref="B1499:H1499"/>
    <mergeCell ref="B1446:H1446"/>
    <mergeCell ref="B1457:H1457"/>
    <mergeCell ref="B1477:H1477"/>
    <mergeCell ref="B1512:H1512"/>
    <mergeCell ref="B1649:H1649"/>
    <mergeCell ref="B1654:H1654"/>
    <mergeCell ref="B1659:H1659"/>
    <mergeCell ref="B1694:H1694"/>
    <mergeCell ref="B1701:H1701"/>
    <mergeCell ref="B1611:H1611"/>
    <mergeCell ref="B1628:H1628"/>
    <mergeCell ref="B1528:H1528"/>
    <mergeCell ref="B1540:H1540"/>
    <mergeCell ref="B1571:H1571"/>
    <mergeCell ref="B1579:H1579"/>
    <mergeCell ref="B1664:H1664"/>
    <mergeCell ref="B1589:H1589"/>
    <mergeCell ref="B1600:H1600"/>
    <mergeCell ref="B1620:H1620"/>
    <mergeCell ref="B1636:H1636"/>
    <mergeCell ref="B1642:H1642"/>
    <mergeCell ref="B1547:H1547"/>
    <mergeCell ref="B1554:H1554"/>
    <mergeCell ref="B1675:H1675"/>
    <mergeCell ref="B1680:H1680"/>
    <mergeCell ref="B1687:H1687"/>
    <mergeCell ref="B1563:H1563"/>
    <mergeCell ref="B1533:H1533"/>
    <mergeCell ref="B1807:H1807"/>
    <mergeCell ref="B1814:H1814"/>
    <mergeCell ref="B1776:H1776"/>
    <mergeCell ref="B1710:H1710"/>
    <mergeCell ref="B1718:H1718"/>
    <mergeCell ref="B1726:H1726"/>
    <mergeCell ref="B1745:H1745"/>
    <mergeCell ref="B1756:H1756"/>
    <mergeCell ref="B1767:H1767"/>
    <mergeCell ref="B1785:H1785"/>
    <mergeCell ref="B1793:H1793"/>
    <mergeCell ref="B1801:H1801"/>
    <mergeCell ref="B1736:H1736"/>
  </mergeCells>
  <pageMargins left="0.7" right="0.7" top="0.75" bottom="0.75" header="0.3" footer="0.3"/>
  <pageSetup scale="6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66"/>
  <sheetViews>
    <sheetView topLeftCell="A39" workbookViewId="0">
      <selection activeCell="E51" sqref="E51"/>
    </sheetView>
  </sheetViews>
  <sheetFormatPr baseColWidth="10" defaultColWidth="11.42578125" defaultRowHeight="15.75"/>
  <cols>
    <col min="1" max="1" width="11.42578125" style="5"/>
    <col min="2" max="2" width="40.140625" style="5" customWidth="1"/>
    <col min="3" max="16384" width="11.42578125" style="5"/>
  </cols>
  <sheetData>
    <row r="2" spans="1:8">
      <c r="A2" s="4"/>
      <c r="B2" s="370" t="s">
        <v>97</v>
      </c>
      <c r="C2" s="370"/>
      <c r="D2" s="370"/>
      <c r="E2" s="370"/>
      <c r="F2" s="370"/>
      <c r="G2" s="370"/>
      <c r="H2" s="370"/>
    </row>
    <row r="3" spans="1:8">
      <c r="A3" s="6"/>
      <c r="B3" s="7"/>
      <c r="C3" s="8" t="s">
        <v>98</v>
      </c>
      <c r="D3" s="9" t="s">
        <v>39</v>
      </c>
      <c r="E3" s="10" t="s">
        <v>99</v>
      </c>
      <c r="F3" s="11" t="s">
        <v>100</v>
      </c>
      <c r="G3" s="11" t="s">
        <v>101</v>
      </c>
      <c r="H3" s="12"/>
    </row>
    <row r="4" spans="1:8">
      <c r="A4" s="13"/>
      <c r="B4" s="14" t="s">
        <v>102</v>
      </c>
      <c r="C4" s="15"/>
      <c r="D4" s="16"/>
      <c r="E4" s="17"/>
      <c r="F4" s="17"/>
      <c r="G4" s="17"/>
      <c r="H4" s="18"/>
    </row>
    <row r="5" spans="1:8">
      <c r="A5" s="19"/>
      <c r="B5" s="20" t="s">
        <v>103</v>
      </c>
      <c r="C5" s="15">
        <v>6.5</v>
      </c>
      <c r="D5" s="12" t="s">
        <v>104</v>
      </c>
      <c r="E5" s="17">
        <f>Materiales!$D$5</f>
        <v>389.83050847457628</v>
      </c>
      <c r="F5" s="17">
        <f>+E5*0.18</f>
        <v>70.169491525423723</v>
      </c>
      <c r="G5" s="17">
        <f t="shared" ref="G5:G10" si="0">+C5*E5+C5*F5</f>
        <v>2990</v>
      </c>
      <c r="H5" s="18"/>
    </row>
    <row r="6" spans="1:8">
      <c r="A6" s="19"/>
      <c r="B6" s="20" t="s">
        <v>105</v>
      </c>
      <c r="C6" s="15">
        <v>0.52</v>
      </c>
      <c r="D6" s="12" t="s">
        <v>106</v>
      </c>
      <c r="E6" s="17">
        <f>Materiales!$F$13</f>
        <v>1300</v>
      </c>
      <c r="F6" s="17"/>
      <c r="G6" s="17">
        <f t="shared" si="0"/>
        <v>676</v>
      </c>
      <c r="H6" s="12"/>
    </row>
    <row r="7" spans="1:8">
      <c r="A7" s="19"/>
      <c r="B7" s="20" t="s">
        <v>107</v>
      </c>
      <c r="C7" s="15">
        <v>0.86</v>
      </c>
      <c r="D7" s="16" t="s">
        <v>106</v>
      </c>
      <c r="E7" s="17">
        <f>Materiales!$F$17</f>
        <v>1300</v>
      </c>
      <c r="F7" s="17"/>
      <c r="G7" s="17">
        <f t="shared" si="0"/>
        <v>1118</v>
      </c>
      <c r="H7" s="12"/>
    </row>
    <row r="8" spans="1:8">
      <c r="A8" s="19"/>
      <c r="B8" s="20" t="s">
        <v>108</v>
      </c>
      <c r="C8" s="15">
        <v>60</v>
      </c>
      <c r="D8" s="16" t="s">
        <v>109</v>
      </c>
      <c r="E8" s="17">
        <f>1.6/1.18</f>
        <v>1.3559322033898307</v>
      </c>
      <c r="F8" s="17">
        <f>+E8*0.18</f>
        <v>0.2440677966101695</v>
      </c>
      <c r="G8" s="17">
        <f t="shared" si="0"/>
        <v>96.000000000000014</v>
      </c>
      <c r="H8" s="12"/>
    </row>
    <row r="9" spans="1:8">
      <c r="A9" s="19"/>
      <c r="B9" s="14" t="s">
        <v>80</v>
      </c>
      <c r="C9" s="15"/>
      <c r="D9" s="16"/>
      <c r="E9" s="17"/>
      <c r="F9" s="17"/>
      <c r="G9" s="17"/>
      <c r="H9" s="12"/>
    </row>
    <row r="10" spans="1:8">
      <c r="A10" s="19"/>
      <c r="B10" s="20" t="s">
        <v>110</v>
      </c>
      <c r="C10" s="15">
        <v>1</v>
      </c>
      <c r="D10" s="16" t="s">
        <v>20</v>
      </c>
      <c r="E10" s="17">
        <v>1000</v>
      </c>
      <c r="F10" s="17"/>
      <c r="G10" s="17">
        <f t="shared" si="0"/>
        <v>1000</v>
      </c>
      <c r="H10" s="12"/>
    </row>
    <row r="11" spans="1:8" ht="16.5" thickBot="1">
      <c r="A11" s="21"/>
      <c r="B11" s="22"/>
      <c r="C11" s="23"/>
      <c r="D11" s="24" t="s">
        <v>111</v>
      </c>
      <c r="E11" s="25"/>
      <c r="F11" s="21"/>
      <c r="G11" s="26">
        <f>SUM(G4:G10)</f>
        <v>5880</v>
      </c>
      <c r="H11" s="27" t="s">
        <v>112</v>
      </c>
    </row>
    <row r="12" spans="1:8" ht="16.5" thickTop="1"/>
    <row r="13" spans="1:8">
      <c r="A13" s="4"/>
      <c r="B13" s="370" t="s">
        <v>113</v>
      </c>
      <c r="C13" s="370"/>
      <c r="D13" s="370"/>
      <c r="E13" s="370"/>
      <c r="F13" s="370"/>
      <c r="G13" s="370"/>
      <c r="H13" s="370"/>
    </row>
    <row r="14" spans="1:8">
      <c r="A14" s="6"/>
      <c r="B14" s="7"/>
      <c r="C14" s="8" t="s">
        <v>98</v>
      </c>
      <c r="D14" s="9" t="s">
        <v>39</v>
      </c>
      <c r="E14" s="10" t="s">
        <v>99</v>
      </c>
      <c r="F14" s="11" t="s">
        <v>100</v>
      </c>
      <c r="G14" s="11" t="s">
        <v>101</v>
      </c>
      <c r="H14" s="12"/>
    </row>
    <row r="15" spans="1:8">
      <c r="A15" s="13"/>
      <c r="B15" s="14" t="s">
        <v>102</v>
      </c>
      <c r="C15" s="15"/>
      <c r="D15" s="16"/>
      <c r="E15" s="17"/>
      <c r="F15" s="17"/>
      <c r="G15" s="17"/>
      <c r="H15" s="18"/>
    </row>
    <row r="16" spans="1:8">
      <c r="A16" s="19"/>
      <c r="B16" s="20" t="s">
        <v>103</v>
      </c>
      <c r="C16" s="15">
        <v>9</v>
      </c>
      <c r="D16" s="12" t="s">
        <v>104</v>
      </c>
      <c r="E16" s="17">
        <f>Materiales!$D$5</f>
        <v>389.83050847457628</v>
      </c>
      <c r="F16" s="17">
        <f>+E16*0.18</f>
        <v>70.169491525423723</v>
      </c>
      <c r="G16" s="17">
        <f t="shared" ref="G16:G19" si="1">+C16*E16+C16*F16</f>
        <v>4140</v>
      </c>
      <c r="H16" s="18"/>
    </row>
    <row r="17" spans="1:8">
      <c r="A17" s="19"/>
      <c r="B17" s="20" t="s">
        <v>105</v>
      </c>
      <c r="C17" s="15">
        <v>0.56999999999999995</v>
      </c>
      <c r="D17" s="12" t="s">
        <v>106</v>
      </c>
      <c r="E17" s="17">
        <f>Materiales!$F$13</f>
        <v>1300</v>
      </c>
      <c r="F17" s="17"/>
      <c r="G17" s="17">
        <f t="shared" si="1"/>
        <v>740.99999999999989</v>
      </c>
      <c r="H17" s="12"/>
    </row>
    <row r="18" spans="1:8">
      <c r="A18" s="19"/>
      <c r="B18" s="20" t="s">
        <v>107</v>
      </c>
      <c r="C18" s="15">
        <v>0.53</v>
      </c>
      <c r="D18" s="16" t="s">
        <v>106</v>
      </c>
      <c r="E18" s="17">
        <f>Materiales!$F$17</f>
        <v>1300</v>
      </c>
      <c r="F18" s="17"/>
      <c r="G18" s="17">
        <f t="shared" si="1"/>
        <v>689</v>
      </c>
      <c r="H18" s="12"/>
    </row>
    <row r="19" spans="1:8">
      <c r="A19" s="19"/>
      <c r="B19" s="20" t="s">
        <v>108</v>
      </c>
      <c r="C19" s="15">
        <v>60</v>
      </c>
      <c r="D19" s="16" t="s">
        <v>109</v>
      </c>
      <c r="E19" s="17">
        <f>1.6/1.18</f>
        <v>1.3559322033898307</v>
      </c>
      <c r="F19" s="17">
        <f>+E19*0.18</f>
        <v>0.2440677966101695</v>
      </c>
      <c r="G19" s="17">
        <f t="shared" si="1"/>
        <v>96.000000000000014</v>
      </c>
      <c r="H19" s="12"/>
    </row>
    <row r="20" spans="1:8">
      <c r="A20" s="19"/>
      <c r="B20" s="14" t="s">
        <v>80</v>
      </c>
      <c r="C20" s="15"/>
      <c r="D20" s="16"/>
      <c r="E20" s="17"/>
      <c r="F20" s="17"/>
      <c r="G20" s="17"/>
      <c r="H20" s="12"/>
    </row>
    <row r="21" spans="1:8">
      <c r="A21" s="19"/>
      <c r="B21" s="20" t="s">
        <v>110</v>
      </c>
      <c r="C21" s="15">
        <v>1</v>
      </c>
      <c r="D21" s="16" t="s">
        <v>20</v>
      </c>
      <c r="E21" s="17">
        <v>1000</v>
      </c>
      <c r="F21" s="17"/>
      <c r="G21" s="17">
        <f t="shared" ref="G21" si="2">+C21*E21+C21*F21</f>
        <v>1000</v>
      </c>
      <c r="H21" s="12"/>
    </row>
    <row r="22" spans="1:8" ht="16.5" thickBot="1">
      <c r="A22" s="21"/>
      <c r="B22" s="22"/>
      <c r="C22" s="23"/>
      <c r="D22" s="24" t="s">
        <v>111</v>
      </c>
      <c r="E22" s="25"/>
      <c r="F22" s="21"/>
      <c r="G22" s="26">
        <f>SUM(G15:G21)</f>
        <v>6666</v>
      </c>
      <c r="H22" s="27" t="s">
        <v>112</v>
      </c>
    </row>
    <row r="23" spans="1:8" ht="16.5" thickTop="1"/>
    <row r="24" spans="1:8">
      <c r="A24" s="4"/>
      <c r="B24" s="370" t="s">
        <v>114</v>
      </c>
      <c r="C24" s="370"/>
      <c r="D24" s="370"/>
      <c r="E24" s="370"/>
      <c r="F24" s="370"/>
      <c r="G24" s="370"/>
      <c r="H24" s="370"/>
    </row>
    <row r="25" spans="1:8">
      <c r="A25" s="6"/>
      <c r="B25" s="7"/>
      <c r="C25" s="8" t="s">
        <v>98</v>
      </c>
      <c r="D25" s="9" t="s">
        <v>39</v>
      </c>
      <c r="E25" s="10" t="s">
        <v>99</v>
      </c>
      <c r="F25" s="11" t="s">
        <v>100</v>
      </c>
      <c r="G25" s="11" t="s">
        <v>101</v>
      </c>
      <c r="H25" s="12"/>
    </row>
    <row r="26" spans="1:8">
      <c r="A26" s="13"/>
      <c r="B26" s="14" t="s">
        <v>102</v>
      </c>
      <c r="C26" s="15"/>
      <c r="D26" s="16"/>
      <c r="E26" s="17"/>
      <c r="F26" s="17"/>
      <c r="G26" s="17"/>
      <c r="H26" s="18"/>
    </row>
    <row r="27" spans="1:8">
      <c r="A27" s="19"/>
      <c r="B27" s="20" t="s">
        <v>103</v>
      </c>
      <c r="C27" s="15">
        <v>10</v>
      </c>
      <c r="D27" s="12" t="s">
        <v>104</v>
      </c>
      <c r="E27" s="17">
        <f>Materiales!$D$5</f>
        <v>389.83050847457628</v>
      </c>
      <c r="F27" s="17">
        <f>+E27*0.18</f>
        <v>70.169491525423723</v>
      </c>
      <c r="G27" s="17">
        <f t="shared" ref="G27:G30" si="3">+C27*E27+C27*F27</f>
        <v>4600</v>
      </c>
      <c r="H27" s="18"/>
    </row>
    <row r="28" spans="1:8">
      <c r="A28" s="19"/>
      <c r="B28" s="20" t="s">
        <v>105</v>
      </c>
      <c r="C28" s="15">
        <v>0.55000000000000004</v>
      </c>
      <c r="D28" s="12" t="s">
        <v>106</v>
      </c>
      <c r="E28" s="17">
        <f>Materiales!$F$13</f>
        <v>1300</v>
      </c>
      <c r="F28" s="17"/>
      <c r="G28" s="17">
        <f t="shared" si="3"/>
        <v>715.00000000000011</v>
      </c>
      <c r="H28" s="12"/>
    </row>
    <row r="29" spans="1:8">
      <c r="A29" s="19"/>
      <c r="B29" s="20" t="s">
        <v>107</v>
      </c>
      <c r="C29" s="15">
        <v>0.51</v>
      </c>
      <c r="D29" s="16" t="s">
        <v>106</v>
      </c>
      <c r="E29" s="17">
        <f>Materiales!$F$17</f>
        <v>1300</v>
      </c>
      <c r="F29" s="17"/>
      <c r="G29" s="17">
        <f t="shared" si="3"/>
        <v>663</v>
      </c>
      <c r="H29" s="12"/>
    </row>
    <row r="30" spans="1:8">
      <c r="A30" s="19"/>
      <c r="B30" s="20" t="s">
        <v>108</v>
      </c>
      <c r="C30" s="15">
        <v>60</v>
      </c>
      <c r="D30" s="16" t="s">
        <v>109</v>
      </c>
      <c r="E30" s="17">
        <f>1.6/1.18</f>
        <v>1.3559322033898307</v>
      </c>
      <c r="F30" s="17">
        <f>+E30*0.18</f>
        <v>0.2440677966101695</v>
      </c>
      <c r="G30" s="17">
        <f t="shared" si="3"/>
        <v>96.000000000000014</v>
      </c>
      <c r="H30" s="12"/>
    </row>
    <row r="31" spans="1:8">
      <c r="A31" s="19"/>
      <c r="B31" s="14" t="s">
        <v>80</v>
      </c>
      <c r="C31" s="15"/>
      <c r="D31" s="16"/>
      <c r="E31" s="17"/>
      <c r="F31" s="17"/>
      <c r="G31" s="17"/>
      <c r="H31" s="12"/>
    </row>
    <row r="32" spans="1:8">
      <c r="A32" s="19"/>
      <c r="B32" s="20" t="s">
        <v>110</v>
      </c>
      <c r="C32" s="15">
        <v>1</v>
      </c>
      <c r="D32" s="16" t="s">
        <v>20</v>
      </c>
      <c r="E32" s="17">
        <v>1000</v>
      </c>
      <c r="F32" s="17"/>
      <c r="G32" s="17">
        <f t="shared" ref="G32" si="4">+C32*E32+C32*F32</f>
        <v>1000</v>
      </c>
      <c r="H32" s="12"/>
    </row>
    <row r="33" spans="1:8" ht="16.5" thickBot="1">
      <c r="A33" s="21"/>
      <c r="B33" s="22"/>
      <c r="C33" s="23"/>
      <c r="D33" s="24" t="s">
        <v>111</v>
      </c>
      <c r="E33" s="25"/>
      <c r="F33" s="21"/>
      <c r="G33" s="26">
        <f>SUM(G26:G32)</f>
        <v>7074</v>
      </c>
      <c r="H33" s="27" t="s">
        <v>112</v>
      </c>
    </row>
    <row r="34" spans="1:8" ht="16.5" thickTop="1"/>
    <row r="35" spans="1:8">
      <c r="A35" s="4"/>
      <c r="B35" s="370" t="s">
        <v>115</v>
      </c>
      <c r="C35" s="370"/>
      <c r="D35" s="370"/>
      <c r="E35" s="370"/>
      <c r="F35" s="370"/>
      <c r="G35" s="370"/>
      <c r="H35" s="370"/>
    </row>
    <row r="36" spans="1:8">
      <c r="A36" s="6"/>
      <c r="B36" s="7"/>
      <c r="C36" s="8" t="s">
        <v>98</v>
      </c>
      <c r="D36" s="9" t="s">
        <v>39</v>
      </c>
      <c r="E36" s="10" t="s">
        <v>99</v>
      </c>
      <c r="F36" s="11" t="s">
        <v>100</v>
      </c>
      <c r="G36" s="11" t="s">
        <v>101</v>
      </c>
      <c r="H36" s="12"/>
    </row>
    <row r="37" spans="1:8">
      <c r="A37" s="13"/>
      <c r="B37" s="14" t="s">
        <v>102</v>
      </c>
      <c r="C37" s="15"/>
      <c r="D37" s="16"/>
      <c r="E37" s="17"/>
      <c r="F37" s="17"/>
      <c r="G37" s="17"/>
      <c r="H37" s="18"/>
    </row>
    <row r="38" spans="1:8">
      <c r="A38" s="19"/>
      <c r="B38" s="20" t="s">
        <v>103</v>
      </c>
      <c r="C38" s="15">
        <v>11</v>
      </c>
      <c r="D38" s="12" t="s">
        <v>104</v>
      </c>
      <c r="E38" s="17">
        <f>Materiales!$D$5</f>
        <v>389.83050847457628</v>
      </c>
      <c r="F38" s="17">
        <f>+E38*0.18</f>
        <v>70.169491525423723</v>
      </c>
      <c r="G38" s="17">
        <f t="shared" ref="G38:G40" si="5">+C38*E38+C38*F38</f>
        <v>5060</v>
      </c>
      <c r="H38" s="18"/>
    </row>
    <row r="39" spans="1:8">
      <c r="A39" s="19"/>
      <c r="B39" s="20" t="s">
        <v>116</v>
      </c>
      <c r="C39" s="15">
        <v>1</v>
      </c>
      <c r="D39" s="12" t="s">
        <v>106</v>
      </c>
      <c r="E39" s="17">
        <f>Materiales!$F$13</f>
        <v>1300</v>
      </c>
      <c r="F39" s="17"/>
      <c r="G39" s="17">
        <f t="shared" si="5"/>
        <v>1300</v>
      </c>
      <c r="H39" s="12"/>
    </row>
    <row r="40" spans="1:8">
      <c r="A40" s="19"/>
      <c r="B40" s="20" t="s">
        <v>108</v>
      </c>
      <c r="C40" s="15">
        <v>60</v>
      </c>
      <c r="D40" s="16" t="s">
        <v>109</v>
      </c>
      <c r="E40" s="17">
        <f>1.6/1.18</f>
        <v>1.3559322033898307</v>
      </c>
      <c r="F40" s="17">
        <f>+E40*0.18</f>
        <v>0.2440677966101695</v>
      </c>
      <c r="G40" s="17">
        <f t="shared" si="5"/>
        <v>96.000000000000014</v>
      </c>
      <c r="H40" s="12"/>
    </row>
    <row r="41" spans="1:8">
      <c r="A41" s="19"/>
      <c r="B41" s="20"/>
      <c r="C41" s="15"/>
      <c r="D41" s="16"/>
      <c r="E41" s="17"/>
      <c r="F41" s="17"/>
      <c r="G41" s="17"/>
      <c r="H41" s="12"/>
    </row>
    <row r="42" spans="1:8">
      <c r="A42" s="19"/>
      <c r="B42" s="14" t="s">
        <v>80</v>
      </c>
      <c r="C42" s="15"/>
      <c r="D42" s="16"/>
      <c r="E42" s="17"/>
      <c r="F42" s="17"/>
      <c r="G42" s="17"/>
      <c r="H42" s="12"/>
    </row>
    <row r="43" spans="1:8">
      <c r="A43" s="19"/>
      <c r="B43" s="20" t="s">
        <v>117</v>
      </c>
      <c r="C43" s="15">
        <v>0.5</v>
      </c>
      <c r="D43" s="16" t="s">
        <v>118</v>
      </c>
      <c r="E43" s="17">
        <v>659</v>
      </c>
      <c r="F43" s="17"/>
      <c r="G43" s="17">
        <f t="shared" ref="G43" si="6">+C43*E43+C43*F43</f>
        <v>329.5</v>
      </c>
      <c r="H43" s="12"/>
    </row>
    <row r="44" spans="1:8" ht="16.5" thickBot="1">
      <c r="A44" s="21"/>
      <c r="B44" s="22"/>
      <c r="C44" s="23"/>
      <c r="D44" s="24" t="s">
        <v>111</v>
      </c>
      <c r="E44" s="25"/>
      <c r="F44" s="21"/>
      <c r="G44" s="26">
        <f>SUM(G37:G43)</f>
        <v>6785.5</v>
      </c>
      <c r="H44" s="27" t="s">
        <v>112</v>
      </c>
    </row>
    <row r="45" spans="1:8" ht="16.5" thickTop="1"/>
    <row r="46" spans="1:8">
      <c r="A46" s="4"/>
      <c r="B46" s="370" t="s">
        <v>119</v>
      </c>
      <c r="C46" s="370"/>
      <c r="D46" s="370"/>
      <c r="E46" s="370"/>
      <c r="F46" s="370"/>
      <c r="G46" s="370"/>
      <c r="H46" s="370"/>
    </row>
    <row r="47" spans="1:8">
      <c r="A47" s="6"/>
      <c r="B47" s="7"/>
      <c r="C47" s="8" t="s">
        <v>98</v>
      </c>
      <c r="D47" s="9" t="s">
        <v>39</v>
      </c>
      <c r="E47" s="10" t="s">
        <v>99</v>
      </c>
      <c r="F47" s="11" t="s">
        <v>100</v>
      </c>
      <c r="G47" s="11" t="s">
        <v>101</v>
      </c>
      <c r="H47" s="12"/>
    </row>
    <row r="48" spans="1:8">
      <c r="A48" s="13"/>
      <c r="B48" s="14" t="s">
        <v>102</v>
      </c>
      <c r="C48" s="15"/>
      <c r="D48" s="16"/>
      <c r="E48" s="17"/>
      <c r="F48" s="17"/>
      <c r="G48" s="17"/>
      <c r="H48" s="18"/>
    </row>
    <row r="49" spans="1:8">
      <c r="A49" s="19"/>
      <c r="B49" s="20" t="s">
        <v>103</v>
      </c>
      <c r="C49" s="15">
        <v>9.4499999999999993</v>
      </c>
      <c r="D49" s="12" t="s">
        <v>104</v>
      </c>
      <c r="E49" s="17">
        <f>Materiales!$D$5</f>
        <v>389.83050847457628</v>
      </c>
      <c r="F49" s="17">
        <f>+E49*0.18</f>
        <v>70.169491525423723</v>
      </c>
      <c r="G49" s="17">
        <f t="shared" ref="G49:G52" si="7">+C49*E49+C49*F49</f>
        <v>4347</v>
      </c>
      <c r="H49" s="18"/>
    </row>
    <row r="50" spans="1:8">
      <c r="A50" s="19"/>
      <c r="B50" s="20" t="s">
        <v>120</v>
      </c>
      <c r="C50" s="15">
        <v>3.15</v>
      </c>
      <c r="D50" s="12" t="s">
        <v>104</v>
      </c>
      <c r="E50" s="17">
        <f>Materiales!$D$3</f>
        <v>311.01694915254234</v>
      </c>
      <c r="F50" s="17">
        <f t="shared" ref="F50" si="8">+E50*0.18</f>
        <v>55.983050847457619</v>
      </c>
      <c r="G50" s="17">
        <f t="shared" si="7"/>
        <v>1156.0499999999997</v>
      </c>
      <c r="H50" s="12"/>
    </row>
    <row r="51" spans="1:8">
      <c r="A51" s="19"/>
      <c r="B51" s="20" t="s">
        <v>121</v>
      </c>
      <c r="C51" s="15">
        <v>1.05</v>
      </c>
      <c r="D51" s="16" t="s">
        <v>20</v>
      </c>
      <c r="E51" s="17">
        <f>Materiales!$F$15</f>
        <v>2200</v>
      </c>
      <c r="F51" s="17"/>
      <c r="G51" s="17">
        <f t="shared" si="7"/>
        <v>2310</v>
      </c>
      <c r="H51" s="12"/>
    </row>
    <row r="52" spans="1:8">
      <c r="A52" s="19"/>
      <c r="B52" s="20" t="s">
        <v>108</v>
      </c>
      <c r="C52" s="15">
        <v>45</v>
      </c>
      <c r="D52" s="16" t="s">
        <v>109</v>
      </c>
      <c r="E52" s="17">
        <f>1.6/1.18</f>
        <v>1.3559322033898307</v>
      </c>
      <c r="F52" s="17">
        <f>+E52*0.18</f>
        <v>0.2440677966101695</v>
      </c>
      <c r="G52" s="17">
        <f t="shared" si="7"/>
        <v>72.000000000000014</v>
      </c>
      <c r="H52" s="12"/>
    </row>
    <row r="53" spans="1:8">
      <c r="A53" s="19"/>
      <c r="B53" s="14" t="s">
        <v>80</v>
      </c>
      <c r="C53" s="15"/>
      <c r="D53" s="16"/>
      <c r="E53" s="17"/>
      <c r="F53" s="17"/>
      <c r="G53" s="17"/>
      <c r="H53" s="12"/>
    </row>
    <row r="54" spans="1:8">
      <c r="A54" s="19"/>
      <c r="B54" s="20" t="s">
        <v>117</v>
      </c>
      <c r="C54" s="15">
        <v>0.5</v>
      </c>
      <c r="D54" s="16" t="s">
        <v>118</v>
      </c>
      <c r="E54" s="17">
        <v>659</v>
      </c>
      <c r="F54" s="17"/>
      <c r="G54" s="17">
        <f t="shared" ref="G54" si="9">+C54*E54+C54*F54</f>
        <v>329.5</v>
      </c>
      <c r="H54" s="12"/>
    </row>
    <row r="55" spans="1:8" ht="16.5" thickBot="1">
      <c r="A55" s="21"/>
      <c r="B55" s="22"/>
      <c r="C55" s="23"/>
      <c r="D55" s="24" t="s">
        <v>111</v>
      </c>
      <c r="E55" s="25"/>
      <c r="F55" s="21"/>
      <c r="G55" s="26">
        <f>SUM(G48:G54)</f>
        <v>8214.5499999999993</v>
      </c>
      <c r="H55" s="27" t="s">
        <v>112</v>
      </c>
    </row>
    <row r="56" spans="1:8" ht="16.5" thickTop="1"/>
    <row r="57" spans="1:8">
      <c r="A57" s="4"/>
      <c r="B57" s="370" t="s">
        <v>122</v>
      </c>
      <c r="C57" s="370"/>
      <c r="D57" s="370"/>
      <c r="E57" s="370"/>
      <c r="F57" s="370"/>
      <c r="G57" s="370"/>
      <c r="H57" s="370"/>
    </row>
    <row r="58" spans="1:8">
      <c r="A58" s="6"/>
      <c r="B58" s="7"/>
      <c r="C58" s="8" t="s">
        <v>98</v>
      </c>
      <c r="D58" s="9" t="s">
        <v>39</v>
      </c>
      <c r="E58" s="10" t="s">
        <v>99</v>
      </c>
      <c r="F58" s="11" t="s">
        <v>100</v>
      </c>
      <c r="G58" s="11" t="s">
        <v>101</v>
      </c>
      <c r="H58" s="12"/>
    </row>
    <row r="59" spans="1:8">
      <c r="A59" s="13"/>
      <c r="B59" s="14" t="s">
        <v>102</v>
      </c>
      <c r="C59" s="15"/>
      <c r="D59" s="16"/>
      <c r="E59" s="17"/>
      <c r="F59" s="17"/>
      <c r="G59" s="17"/>
      <c r="H59" s="18"/>
    </row>
    <row r="60" spans="1:8">
      <c r="A60" s="19"/>
      <c r="B60" s="20" t="s">
        <v>103</v>
      </c>
      <c r="C60" s="15">
        <v>6</v>
      </c>
      <c r="D60" s="12" t="s">
        <v>104</v>
      </c>
      <c r="E60" s="17">
        <f>Materiales!$D$5</f>
        <v>389.83050847457628</v>
      </c>
      <c r="F60" s="17">
        <f>+E60*0.18</f>
        <v>70.169491525423723</v>
      </c>
      <c r="G60" s="17">
        <f t="shared" ref="G60:G62" si="10">+C60*E60+C60*F60</f>
        <v>2760</v>
      </c>
      <c r="H60" s="18"/>
    </row>
    <row r="61" spans="1:8">
      <c r="A61" s="19"/>
      <c r="B61" s="20" t="s">
        <v>123</v>
      </c>
      <c r="C61" s="15">
        <v>1.1499999999999999</v>
      </c>
      <c r="D61" s="12" t="s">
        <v>20</v>
      </c>
      <c r="E61" s="17">
        <f>Materiales!$F$13</f>
        <v>1300</v>
      </c>
      <c r="F61" s="17"/>
      <c r="G61" s="17">
        <f t="shared" si="10"/>
        <v>1494.9999999999998</v>
      </c>
      <c r="H61" s="12"/>
    </row>
    <row r="62" spans="1:8">
      <c r="A62" s="19"/>
      <c r="B62" s="20" t="s">
        <v>108</v>
      </c>
      <c r="C62" s="15">
        <v>45</v>
      </c>
      <c r="D62" s="16" t="s">
        <v>109</v>
      </c>
      <c r="E62" s="17">
        <f>1.6/1.18</f>
        <v>1.3559322033898307</v>
      </c>
      <c r="F62" s="17">
        <f>+E62*0.18</f>
        <v>0.2440677966101695</v>
      </c>
      <c r="G62" s="17">
        <f t="shared" si="10"/>
        <v>72.000000000000014</v>
      </c>
      <c r="H62" s="12"/>
    </row>
    <row r="63" spans="1:8">
      <c r="A63" s="19"/>
      <c r="B63" s="14" t="s">
        <v>80</v>
      </c>
      <c r="C63" s="15"/>
      <c r="D63" s="16"/>
      <c r="E63" s="17"/>
      <c r="F63" s="17"/>
      <c r="G63" s="17"/>
      <c r="H63" s="12"/>
    </row>
    <row r="64" spans="1:8">
      <c r="A64" s="19"/>
      <c r="B64" s="20" t="s">
        <v>117</v>
      </c>
      <c r="C64" s="15">
        <v>0.5</v>
      </c>
      <c r="D64" s="16" t="s">
        <v>118</v>
      </c>
      <c r="E64" s="17">
        <v>659</v>
      </c>
      <c r="F64" s="17"/>
      <c r="G64" s="17">
        <f t="shared" ref="G64" si="11">+C64*E64+C64*F64</f>
        <v>329.5</v>
      </c>
      <c r="H64" s="12"/>
    </row>
    <row r="65" spans="1:8" ht="16.5" thickBot="1">
      <c r="A65" s="21"/>
      <c r="B65" s="22"/>
      <c r="C65" s="23"/>
      <c r="D65" s="24" t="s">
        <v>111</v>
      </c>
      <c r="E65" s="25"/>
      <c r="F65" s="21"/>
      <c r="G65" s="26">
        <f>SUM(G59:G64)</f>
        <v>4656.5</v>
      </c>
      <c r="H65" s="27" t="s">
        <v>112</v>
      </c>
    </row>
    <row r="66" spans="1:8" ht="16.5" thickTop="1"/>
  </sheetData>
  <mergeCells count="6">
    <mergeCell ref="B57:H57"/>
    <mergeCell ref="B2:H2"/>
    <mergeCell ref="B13:H13"/>
    <mergeCell ref="B24:H24"/>
    <mergeCell ref="B35:H35"/>
    <mergeCell ref="B46:H46"/>
  </mergeCells>
  <pageMargins left="0.7" right="0.7" top="0.75" bottom="0.75" header="0.3" footer="0.3"/>
  <pageSetup scale="7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43"/>
  <sheetViews>
    <sheetView topLeftCell="A27" workbookViewId="0">
      <selection activeCell="C35" sqref="C35"/>
    </sheetView>
  </sheetViews>
  <sheetFormatPr baseColWidth="10" defaultRowHeight="15"/>
  <sheetData>
    <row r="1" spans="1:55">
      <c r="A1" t="s">
        <v>1902</v>
      </c>
    </row>
    <row r="2" spans="1:55">
      <c r="A2">
        <v>35.200000000000003</v>
      </c>
      <c r="C2">
        <f>+A2*A3/2</f>
        <v>857.12000000000012</v>
      </c>
    </row>
    <row r="3" spans="1:55">
      <c r="A3">
        <v>48.7</v>
      </c>
    </row>
    <row r="4" spans="1:55">
      <c r="A4">
        <v>57.6</v>
      </c>
    </row>
    <row r="6" spans="1:55">
      <c r="AX6" t="s">
        <v>1927</v>
      </c>
      <c r="AZ6" t="s">
        <v>1924</v>
      </c>
      <c r="BC6" t="s">
        <v>1928</v>
      </c>
    </row>
    <row r="7" spans="1:55">
      <c r="A7" t="s">
        <v>1903</v>
      </c>
      <c r="C7" s="373" t="s">
        <v>1910</v>
      </c>
      <c r="D7" s="373"/>
      <c r="E7" s="373"/>
      <c r="F7" s="373"/>
      <c r="H7" s="373" t="s">
        <v>1912</v>
      </c>
      <c r="I7" s="373"/>
      <c r="J7" s="373"/>
      <c r="K7" s="373"/>
      <c r="M7" s="373" t="s">
        <v>1913</v>
      </c>
      <c r="N7" s="373"/>
      <c r="O7" s="373"/>
      <c r="P7" s="373"/>
      <c r="T7" s="373" t="s">
        <v>1921</v>
      </c>
      <c r="U7" s="373"/>
      <c r="V7" s="373"/>
      <c r="W7" s="373"/>
      <c r="Z7" s="373" t="s">
        <v>1922</v>
      </c>
      <c r="AA7" s="373"/>
      <c r="AB7" s="373"/>
      <c r="AC7" s="373"/>
      <c r="AF7" t="s">
        <v>1923</v>
      </c>
      <c r="AH7" t="s">
        <v>1924</v>
      </c>
      <c r="AX7">
        <v>3.9</v>
      </c>
      <c r="AY7">
        <v>5.8</v>
      </c>
      <c r="AZ7">
        <f>+AX7*AY7</f>
        <v>22.619999999999997</v>
      </c>
      <c r="BC7">
        <f>9.2*2-2</f>
        <v>16.399999999999999</v>
      </c>
    </row>
    <row r="8" spans="1:55">
      <c r="A8" t="s">
        <v>1904</v>
      </c>
      <c r="B8" t="s">
        <v>1905</v>
      </c>
      <c r="C8" t="s">
        <v>101</v>
      </c>
      <c r="D8" t="s">
        <v>1906</v>
      </c>
      <c r="E8" t="s">
        <v>1907</v>
      </c>
      <c r="F8" t="s">
        <v>1909</v>
      </c>
      <c r="H8" t="s">
        <v>101</v>
      </c>
      <c r="I8" t="s">
        <v>1906</v>
      </c>
      <c r="J8" t="s">
        <v>1907</v>
      </c>
      <c r="K8" t="s">
        <v>1909</v>
      </c>
      <c r="M8" t="s">
        <v>101</v>
      </c>
      <c r="N8" t="s">
        <v>1906</v>
      </c>
      <c r="O8" t="s">
        <v>1907</v>
      </c>
      <c r="P8" t="s">
        <v>1914</v>
      </c>
      <c r="T8" t="s">
        <v>101</v>
      </c>
      <c r="U8" t="s">
        <v>1906</v>
      </c>
      <c r="V8" t="s">
        <v>1907</v>
      </c>
      <c r="W8" t="s">
        <v>1914</v>
      </c>
      <c r="Z8" t="s">
        <v>101</v>
      </c>
      <c r="AA8" t="s">
        <v>1906</v>
      </c>
      <c r="AB8" t="s">
        <v>1907</v>
      </c>
      <c r="AC8" t="s">
        <v>1914</v>
      </c>
      <c r="AF8">
        <v>4.2</v>
      </c>
      <c r="AG8">
        <v>5.8</v>
      </c>
      <c r="AH8">
        <f>+AF8*AG8</f>
        <v>24.36</v>
      </c>
      <c r="AX8">
        <v>4.3499999999999996</v>
      </c>
      <c r="AY8">
        <v>3.5</v>
      </c>
      <c r="AZ8">
        <f t="shared" ref="AZ8:AZ9" si="0">+AX8*AY8</f>
        <v>15.224999999999998</v>
      </c>
      <c r="BC8">
        <f>7.1*2+2*2-1</f>
        <v>17.2</v>
      </c>
    </row>
    <row r="9" spans="1:55">
      <c r="A9">
        <f>8.5+9.9+12.4</f>
        <v>30.799999999999997</v>
      </c>
      <c r="B9">
        <v>4.0999999999999996</v>
      </c>
      <c r="C9">
        <f>+A18+B22</f>
        <v>221.85</v>
      </c>
      <c r="D9">
        <v>1</v>
      </c>
      <c r="E9">
        <v>0.6</v>
      </c>
      <c r="F9">
        <f>+C9*D9*E9</f>
        <v>133.10999999999999</v>
      </c>
      <c r="H9">
        <f>+C9</f>
        <v>221.85</v>
      </c>
      <c r="I9">
        <v>0.2</v>
      </c>
      <c r="J9">
        <v>0.2</v>
      </c>
      <c r="K9">
        <f>+H9*I9*J9</f>
        <v>8.8740000000000006</v>
      </c>
      <c r="M9">
        <f>+H9</f>
        <v>221.85</v>
      </c>
      <c r="N9">
        <v>0.4</v>
      </c>
      <c r="O9">
        <v>1</v>
      </c>
      <c r="P9">
        <f>+M9*N9*O9</f>
        <v>88.740000000000009</v>
      </c>
      <c r="T9">
        <f>1.1+1.1+2.4</f>
        <v>4.5999999999999996</v>
      </c>
      <c r="U9">
        <v>3.8</v>
      </c>
      <c r="V9">
        <v>1</v>
      </c>
      <c r="W9">
        <f>+T9*U9*V9</f>
        <v>17.479999999999997</v>
      </c>
      <c r="Z9">
        <f>SUM(Z16:Z23)+SUM(AC16:AC29)</f>
        <v>61.3</v>
      </c>
      <c r="AA9">
        <v>0.4</v>
      </c>
      <c r="AB9">
        <v>0.2</v>
      </c>
      <c r="AC9">
        <f>+Z9*AA9*AB9</f>
        <v>4.9039999999999999</v>
      </c>
      <c r="AF9">
        <v>4.3499999999999996</v>
      </c>
      <c r="AG9">
        <v>3.7</v>
      </c>
      <c r="AH9">
        <f t="shared" ref="AH9:AH13" si="1">+AF9*AG9</f>
        <v>16.094999999999999</v>
      </c>
      <c r="AX9">
        <v>1.7</v>
      </c>
      <c r="AY9">
        <v>2.4</v>
      </c>
      <c r="AZ9">
        <f t="shared" si="0"/>
        <v>4.08</v>
      </c>
      <c r="BC9">
        <f>12.4+2.2+1+2</f>
        <v>17.600000000000001</v>
      </c>
    </row>
    <row r="10" spans="1:55">
      <c r="A10">
        <v>20</v>
      </c>
      <c r="B10">
        <v>3.7</v>
      </c>
      <c r="F10" t="s">
        <v>1908</v>
      </c>
      <c r="AF10">
        <v>15.9</v>
      </c>
      <c r="AG10">
        <v>23.8</v>
      </c>
      <c r="AH10">
        <f t="shared" si="1"/>
        <v>378.42</v>
      </c>
      <c r="BC10">
        <f>13.4*2-1.5</f>
        <v>25.3</v>
      </c>
    </row>
    <row r="11" spans="1:55">
      <c r="A11">
        <v>5.5</v>
      </c>
      <c r="B11">
        <v>3.9</v>
      </c>
      <c r="C11" s="373" t="s">
        <v>1911</v>
      </c>
      <c r="D11" s="373"/>
      <c r="E11" s="373"/>
      <c r="F11" s="373"/>
      <c r="H11">
        <f>+H9*0.2*2</f>
        <v>88.740000000000009</v>
      </c>
      <c r="M11" s="373" t="s">
        <v>1915</v>
      </c>
      <c r="N11" s="373"/>
      <c r="O11" s="373"/>
      <c r="P11" s="373"/>
      <c r="Z11">
        <f>+Z9*0.45</f>
        <v>27.585000000000001</v>
      </c>
      <c r="AF11">
        <v>9.5</v>
      </c>
      <c r="AG11">
        <v>4.7</v>
      </c>
      <c r="AH11">
        <f t="shared" si="1"/>
        <v>44.65</v>
      </c>
      <c r="BC11">
        <f>9.7*2+5.4*2-5</f>
        <v>25.2</v>
      </c>
    </row>
    <row r="12" spans="1:55">
      <c r="A12">
        <f>+A10</f>
        <v>20</v>
      </c>
      <c r="B12">
        <v>3.5</v>
      </c>
      <c r="C12" t="s">
        <v>101</v>
      </c>
      <c r="D12" t="s">
        <v>1906</v>
      </c>
      <c r="E12" t="s">
        <v>1907</v>
      </c>
      <c r="F12" t="s">
        <v>1909</v>
      </c>
      <c r="M12" t="s">
        <v>101</v>
      </c>
      <c r="N12" t="s">
        <v>1906</v>
      </c>
      <c r="O12" t="s">
        <v>1907</v>
      </c>
      <c r="P12" t="s">
        <v>1914</v>
      </c>
      <c r="Q12" t="s">
        <v>1918</v>
      </c>
      <c r="R12" t="s">
        <v>1919</v>
      </c>
      <c r="AF12">
        <v>12.1</v>
      </c>
      <c r="AG12">
        <v>3.4</v>
      </c>
      <c r="AH12">
        <f t="shared" si="1"/>
        <v>41.14</v>
      </c>
      <c r="BC12">
        <f>10*2+5.4*2-2.5</f>
        <v>28.3</v>
      </c>
    </row>
    <row r="13" spans="1:55">
      <c r="A13">
        <v>3.8</v>
      </c>
      <c r="B13">
        <f>5.9+0.15+0.15+1.8</f>
        <v>8.0000000000000018</v>
      </c>
      <c r="C13">
        <f>+C9</f>
        <v>221.85</v>
      </c>
      <c r="D13">
        <v>0.6</v>
      </c>
      <c r="E13">
        <v>0.3</v>
      </c>
      <c r="F13">
        <f>+C13*D13*E13</f>
        <v>39.932999999999993</v>
      </c>
      <c r="M13">
        <f>+M9</f>
        <v>221.85</v>
      </c>
      <c r="N13">
        <v>3.8</v>
      </c>
      <c r="O13">
        <v>1</v>
      </c>
      <c r="P13">
        <f>+M13*N13*O13</f>
        <v>843.03</v>
      </c>
      <c r="Q13">
        <f>+L26+P26</f>
        <v>93.82</v>
      </c>
      <c r="R13">
        <f>+P13-Q13</f>
        <v>749.21</v>
      </c>
      <c r="AF13">
        <v>4.2</v>
      </c>
      <c r="AG13">
        <v>5.8</v>
      </c>
      <c r="AH13">
        <f t="shared" si="1"/>
        <v>24.36</v>
      </c>
      <c r="AL13" t="s">
        <v>1925</v>
      </c>
      <c r="AM13">
        <f>SUM(AJ16:AJ23)+SUM(AO16:AO29)</f>
        <v>260</v>
      </c>
      <c r="AS13" t="s">
        <v>1926</v>
      </c>
      <c r="AT13">
        <f>SUM(AQ16:AQ23)+SUM(AV16:AV29)</f>
        <v>130</v>
      </c>
      <c r="AZ13">
        <f>SUM(AZ7:AZ12)</f>
        <v>41.924999999999997</v>
      </c>
      <c r="BC13">
        <f>20*2+1.8*2-7-1*2-1</f>
        <v>33.6</v>
      </c>
    </row>
    <row r="14" spans="1:55">
      <c r="A14">
        <f>+A12</f>
        <v>20</v>
      </c>
      <c r="B14">
        <v>5.7</v>
      </c>
      <c r="AH14">
        <f>SUM(AH8:AH13)</f>
        <v>529.02499999999998</v>
      </c>
      <c r="AI14">
        <f>+AH14*0.14</f>
        <v>74.063500000000005</v>
      </c>
      <c r="BC14">
        <f>5.9+4.7+9.8-8+10.2</f>
        <v>22.6</v>
      </c>
    </row>
    <row r="15" spans="1:55">
      <c r="A15">
        <v>9.8000000000000007</v>
      </c>
      <c r="B15">
        <f>2+0.15+5.4+0.15+1.8+0.15</f>
        <v>9.6500000000000021</v>
      </c>
      <c r="D15" t="s">
        <v>59</v>
      </c>
      <c r="F15">
        <f>+F9-F13</f>
        <v>93.176999999999992</v>
      </c>
      <c r="AA15" t="s">
        <v>1904</v>
      </c>
      <c r="AB15" t="s">
        <v>1905</v>
      </c>
      <c r="AL15" t="s">
        <v>1904</v>
      </c>
      <c r="AM15" t="s">
        <v>1905</v>
      </c>
      <c r="AS15" t="s">
        <v>1904</v>
      </c>
      <c r="AT15" t="s">
        <v>1905</v>
      </c>
      <c r="AX15">
        <f>+AX7*2+AY7*2</f>
        <v>19.399999999999999</v>
      </c>
      <c r="AY15">
        <f>2.1+0.9*1.5</f>
        <v>3.45</v>
      </c>
      <c r="AZ15">
        <f>+AX15*3</f>
        <v>58.199999999999996</v>
      </c>
      <c r="BA15">
        <f>+AZ15-AY15</f>
        <v>54.749999999999993</v>
      </c>
      <c r="BC15">
        <f>9.6*2+5.6*2-1.5</f>
        <v>28.9</v>
      </c>
    </row>
    <row r="16" spans="1:55">
      <c r="A16">
        <f>3.4*2+2.7</f>
        <v>9.5</v>
      </c>
      <c r="B16">
        <v>1</v>
      </c>
      <c r="F16">
        <f>+F15*1.3</f>
        <v>121.1301</v>
      </c>
      <c r="M16" t="s">
        <v>1904</v>
      </c>
      <c r="N16" t="s">
        <v>1905</v>
      </c>
      <c r="Z16">
        <f>1.3*2+2.8*2</f>
        <v>8.1999999999999993</v>
      </c>
      <c r="AA16">
        <f>8.5+9.9+12.4</f>
        <v>30.799999999999997</v>
      </c>
      <c r="AB16">
        <v>4.0999999999999996</v>
      </c>
      <c r="AC16">
        <v>1.3</v>
      </c>
      <c r="AJ16">
        <f>0.9*8+1.5*8</f>
        <v>19.2</v>
      </c>
      <c r="AK16">
        <f>1.3*2+2.8*2</f>
        <v>8.1999999999999993</v>
      </c>
      <c r="AL16">
        <f>8.5+9.9+12.4</f>
        <v>30.799999999999997</v>
      </c>
      <c r="AM16">
        <v>4.0999999999999996</v>
      </c>
      <c r="AN16">
        <v>1.3</v>
      </c>
      <c r="AO16">
        <f>0.9*4+1.5*4</f>
        <v>9.6</v>
      </c>
      <c r="AQ16">
        <f>0.9*4+1.5*4</f>
        <v>9.6</v>
      </c>
      <c r="AR16">
        <f>1.3*2+2.8*2</f>
        <v>8.1999999999999993</v>
      </c>
      <c r="AS16">
        <f>8.5+9.9+12.4</f>
        <v>30.799999999999997</v>
      </c>
      <c r="AT16">
        <v>4.0999999999999996</v>
      </c>
      <c r="AU16">
        <v>1.3</v>
      </c>
      <c r="AV16">
        <f>0.9*2+1.5*2</f>
        <v>4.8</v>
      </c>
      <c r="AX16">
        <f t="shared" ref="AX16:AX17" si="2">+AX8*2+AY8*2</f>
        <v>15.7</v>
      </c>
      <c r="AY16">
        <f>2.1+0.9*1.5</f>
        <v>3.45</v>
      </c>
      <c r="AZ16">
        <f t="shared" ref="AZ16:AZ18" si="3">+AX16*3</f>
        <v>47.099999999999994</v>
      </c>
      <c r="BA16">
        <f t="shared" ref="BA16:BA17" si="4">+AZ16-AY16</f>
        <v>43.649999999999991</v>
      </c>
      <c r="BC16">
        <f>9.8+2.9+4.9+2.4+3.7+2.4+1.6</f>
        <v>27.7</v>
      </c>
    </row>
    <row r="17" spans="1:55">
      <c r="A17">
        <v>5.7</v>
      </c>
      <c r="B17">
        <v>5.7</v>
      </c>
      <c r="K17">
        <f>2.4*1.5*3</f>
        <v>10.799999999999999</v>
      </c>
      <c r="L17">
        <f>0.9*1.5*2</f>
        <v>2.7</v>
      </c>
      <c r="M17">
        <f>8.5+9.9+12.4</f>
        <v>30.799999999999997</v>
      </c>
      <c r="N17">
        <v>4.0999999999999996</v>
      </c>
      <c r="O17">
        <f>0.9*1.5</f>
        <v>1.35</v>
      </c>
      <c r="Z17">
        <f>1.5*2+0.2*2+0.15</f>
        <v>3.55</v>
      </c>
      <c r="AA17">
        <v>20</v>
      </c>
      <c r="AB17">
        <v>3.7</v>
      </c>
      <c r="AC17">
        <v>1.3</v>
      </c>
      <c r="AJ17">
        <f>1.5*4+2.1*4</f>
        <v>14.4</v>
      </c>
      <c r="AK17">
        <f>1.5*2+0.2*2+0.15</f>
        <v>3.55</v>
      </c>
      <c r="AL17">
        <v>20</v>
      </c>
      <c r="AM17">
        <v>3.7</v>
      </c>
      <c r="AN17">
        <v>1.3</v>
      </c>
      <c r="AO17">
        <f>0.9*4+1.5*4</f>
        <v>9.6</v>
      </c>
      <c r="AQ17">
        <f>1.5*2+2.1*2</f>
        <v>7.2</v>
      </c>
      <c r="AR17">
        <f>1.5*2+0.2*2+0.15</f>
        <v>3.55</v>
      </c>
      <c r="AS17">
        <v>20</v>
      </c>
      <c r="AT17">
        <v>3.7</v>
      </c>
      <c r="AU17">
        <v>1.3</v>
      </c>
      <c r="AV17">
        <f>0.9*2+1.5*2</f>
        <v>4.8</v>
      </c>
      <c r="AX17">
        <f t="shared" si="2"/>
        <v>8.1999999999999993</v>
      </c>
      <c r="AY17">
        <f>0.8*2.1+0.6*0.6</f>
        <v>2.04</v>
      </c>
      <c r="AZ17">
        <f t="shared" si="3"/>
        <v>24.599999999999998</v>
      </c>
      <c r="BA17">
        <f t="shared" si="4"/>
        <v>22.56</v>
      </c>
      <c r="BC17">
        <f>SUM(BC7:BC16)</f>
        <v>242.79999999999998</v>
      </c>
    </row>
    <row r="18" spans="1:55">
      <c r="A18">
        <f>SUM(A9:A17)</f>
        <v>125.1</v>
      </c>
      <c r="B18">
        <v>10.5</v>
      </c>
      <c r="L18">
        <f>1.5*2.1*2</f>
        <v>6.3000000000000007</v>
      </c>
      <c r="M18">
        <v>20</v>
      </c>
      <c r="N18">
        <v>3.7</v>
      </c>
      <c r="O18">
        <f>0.9*1.5</f>
        <v>1.35</v>
      </c>
      <c r="AA18">
        <v>5.5</v>
      </c>
      <c r="AB18">
        <v>3.9</v>
      </c>
      <c r="AC18">
        <v>1.1499999999999999</v>
      </c>
      <c r="AL18">
        <v>5.5</v>
      </c>
      <c r="AM18">
        <v>3.9</v>
      </c>
      <c r="AN18">
        <v>1.1499999999999999</v>
      </c>
      <c r="AO18">
        <f>2.1*2+1*2</f>
        <v>6.2</v>
      </c>
      <c r="AS18">
        <v>5.5</v>
      </c>
      <c r="AT18">
        <v>3.9</v>
      </c>
      <c r="AU18">
        <v>1.1499999999999999</v>
      </c>
      <c r="AV18">
        <f>2.1*1+1</f>
        <v>3.1</v>
      </c>
      <c r="AZ18">
        <f t="shared" si="3"/>
        <v>0</v>
      </c>
      <c r="BA18">
        <f>SUM(BA15:BA17)</f>
        <v>120.95999999999998</v>
      </c>
    </row>
    <row r="19" spans="1:55">
      <c r="B19">
        <v>4.2</v>
      </c>
      <c r="M19">
        <v>5.5</v>
      </c>
      <c r="N19">
        <v>3.9</v>
      </c>
      <c r="O19">
        <f>0.8*2.1</f>
        <v>1.6800000000000002</v>
      </c>
      <c r="Z19">
        <f>1.35*2</f>
        <v>2.7</v>
      </c>
      <c r="AA19">
        <f>+AA17</f>
        <v>20</v>
      </c>
      <c r="AB19">
        <v>3.5</v>
      </c>
      <c r="AC19">
        <v>1.1499999999999999</v>
      </c>
      <c r="AJ19">
        <f>1*4+2.1*4</f>
        <v>12.4</v>
      </c>
      <c r="AK19">
        <f>1.35*2</f>
        <v>2.7</v>
      </c>
      <c r="AL19">
        <f>+AL17</f>
        <v>20</v>
      </c>
      <c r="AM19">
        <v>3.5</v>
      </c>
      <c r="AN19">
        <v>1.1499999999999999</v>
      </c>
      <c r="AO19">
        <f>2.1*2+1*2</f>
        <v>6.2</v>
      </c>
      <c r="AQ19">
        <f>1*2+2.1*2</f>
        <v>6.2</v>
      </c>
      <c r="AR19">
        <f>1.35*2</f>
        <v>2.7</v>
      </c>
      <c r="AS19">
        <f>+AS17</f>
        <v>20</v>
      </c>
      <c r="AT19">
        <v>3.5</v>
      </c>
      <c r="AU19">
        <v>1.1499999999999999</v>
      </c>
      <c r="AV19">
        <f>2.1*1+1*1</f>
        <v>3.1</v>
      </c>
    </row>
    <row r="20" spans="1:55">
      <c r="B20">
        <v>13.4</v>
      </c>
      <c r="L20">
        <f>2*2.1</f>
        <v>4.2</v>
      </c>
      <c r="M20">
        <f>+M18</f>
        <v>20</v>
      </c>
      <c r="N20">
        <v>3.5</v>
      </c>
      <c r="O20">
        <f>0.8*2.1</f>
        <v>1.6800000000000002</v>
      </c>
      <c r="AA20">
        <v>3.8</v>
      </c>
      <c r="AB20">
        <f>5.9+0.15+0.15+1.8</f>
        <v>8.0000000000000018</v>
      </c>
      <c r="AC20">
        <f>2.8*2</f>
        <v>5.6</v>
      </c>
      <c r="AL20">
        <v>3.8</v>
      </c>
      <c r="AM20">
        <f>5.9+0.15+0.15+1.8</f>
        <v>8.0000000000000018</v>
      </c>
      <c r="AN20">
        <f>2.8*2</f>
        <v>5.6</v>
      </c>
      <c r="AO20">
        <f>2.4*8+1.5*8</f>
        <v>31.2</v>
      </c>
      <c r="AS20">
        <v>3.8</v>
      </c>
      <c r="AT20">
        <f>5.9+0.15+0.15+1.8</f>
        <v>8.0000000000000018</v>
      </c>
      <c r="AU20">
        <f>2.8*2</f>
        <v>5.6</v>
      </c>
      <c r="AV20">
        <f>2.4*4+1.5*4</f>
        <v>15.6</v>
      </c>
    </row>
    <row r="21" spans="1:55">
      <c r="B21">
        <v>23.4</v>
      </c>
      <c r="M21">
        <v>3.8</v>
      </c>
      <c r="N21">
        <f>5.9+0.15+0.15+1.8</f>
        <v>8.0000000000000018</v>
      </c>
      <c r="O21">
        <f>2.4*2*1.5</f>
        <v>7.1999999999999993</v>
      </c>
      <c r="Z21">
        <f>7.4+1.35</f>
        <v>8.75</v>
      </c>
      <c r="AA21">
        <f>+AA19</f>
        <v>20</v>
      </c>
      <c r="AB21">
        <v>5.7</v>
      </c>
      <c r="AC21">
        <v>2.8</v>
      </c>
      <c r="AJ21">
        <f>7*2+2.1*4+1*2+2.1*2</f>
        <v>28.599999999999998</v>
      </c>
      <c r="AK21">
        <f>7.4+1.35</f>
        <v>8.75</v>
      </c>
      <c r="AL21">
        <f>+AL19</f>
        <v>20</v>
      </c>
      <c r="AM21">
        <v>5.7</v>
      </c>
      <c r="AN21">
        <v>2.8</v>
      </c>
      <c r="AO21">
        <f>2.4*4+1.5*4</f>
        <v>15.6</v>
      </c>
      <c r="AQ21">
        <f>7*1+2.1*2+1*1+2.1*1</f>
        <v>14.299999999999999</v>
      </c>
      <c r="AR21">
        <f>7.4+1.35</f>
        <v>8.75</v>
      </c>
      <c r="AS21">
        <f>+AS19</f>
        <v>20</v>
      </c>
      <c r="AT21">
        <v>5.7</v>
      </c>
      <c r="AU21">
        <v>2.8</v>
      </c>
      <c r="AV21">
        <f>2.4*2+1.5*2</f>
        <v>7.8</v>
      </c>
    </row>
    <row r="22" spans="1:55">
      <c r="B22">
        <f>SUM(B9:B21)</f>
        <v>96.75</v>
      </c>
      <c r="D22">
        <f>+A18+B22</f>
        <v>221.85</v>
      </c>
      <c r="E22">
        <f>+D22*0.6*0.3</f>
        <v>39.932999999999993</v>
      </c>
      <c r="K22">
        <v>2.1</v>
      </c>
      <c r="L22">
        <f>7*2.1</f>
        <v>14.700000000000001</v>
      </c>
      <c r="M22">
        <f>+M20</f>
        <v>20</v>
      </c>
      <c r="N22">
        <v>5.7</v>
      </c>
      <c r="O22">
        <f>2.4*1.5</f>
        <v>3.5999999999999996</v>
      </c>
      <c r="AA22">
        <v>9.8000000000000007</v>
      </c>
      <c r="AB22">
        <f>2+0.15+5.4+0.15+1.8+0.15</f>
        <v>9.6500000000000021</v>
      </c>
      <c r="AL22">
        <v>9.8000000000000007</v>
      </c>
      <c r="AM22">
        <f>2+0.15+5.4+0.15+1.8+0.15</f>
        <v>9.6500000000000021</v>
      </c>
      <c r="AS22">
        <v>9.8000000000000007</v>
      </c>
      <c r="AT22">
        <f>2+0.15+5.4+0.15+1.8+0.15</f>
        <v>9.6500000000000021</v>
      </c>
    </row>
    <row r="23" spans="1:55">
      <c r="E23">
        <f>+D22*0.45*0.25</f>
        <v>24.958124999999999</v>
      </c>
      <c r="M23">
        <v>9.8000000000000007</v>
      </c>
      <c r="N23">
        <f>2+0.15+5.4+0.15+1.8+0.15</f>
        <v>9.6500000000000021</v>
      </c>
      <c r="Z23">
        <v>9.8000000000000007</v>
      </c>
      <c r="AA23">
        <f>3.4*2+2.7</f>
        <v>9.5</v>
      </c>
      <c r="AB23">
        <v>1</v>
      </c>
      <c r="AC23">
        <v>1.35</v>
      </c>
      <c r="AJ23">
        <f>9.8*2+2.1*4</f>
        <v>28</v>
      </c>
      <c r="AK23">
        <v>9.8000000000000007</v>
      </c>
      <c r="AL23">
        <f>3.4*2+2.7</f>
        <v>9.5</v>
      </c>
      <c r="AM23">
        <v>1</v>
      </c>
      <c r="AN23">
        <v>1.35</v>
      </c>
      <c r="AO23">
        <f>1*2+2.1*2</f>
        <v>6.2</v>
      </c>
      <c r="AQ23">
        <f>9.8*1+2.1*2</f>
        <v>14</v>
      </c>
      <c r="AR23">
        <v>9.8000000000000007</v>
      </c>
      <c r="AS23">
        <f>3.4*2+2.7</f>
        <v>9.5</v>
      </c>
      <c r="AT23">
        <v>1</v>
      </c>
      <c r="AU23">
        <v>1.35</v>
      </c>
      <c r="AV23">
        <f>1*1+2.1*1</f>
        <v>3.1</v>
      </c>
    </row>
    <row r="24" spans="1:55">
      <c r="L24">
        <f>9.5*2.3</f>
        <v>21.849999999999998</v>
      </c>
      <c r="M24">
        <f>3.4*2+2.7</f>
        <v>9.5</v>
      </c>
      <c r="N24">
        <v>1</v>
      </c>
      <c r="AA24">
        <v>5.7</v>
      </c>
      <c r="AB24">
        <v>5.7</v>
      </c>
      <c r="AL24">
        <v>5.7</v>
      </c>
      <c r="AM24">
        <v>5.7</v>
      </c>
      <c r="AS24">
        <v>5.7</v>
      </c>
      <c r="AT24">
        <v>5.7</v>
      </c>
    </row>
    <row r="25" spans="1:55">
      <c r="M25">
        <v>5.7</v>
      </c>
      <c r="N25">
        <v>5.7</v>
      </c>
      <c r="AA25">
        <f>SUM(AA16:AA24)</f>
        <v>125.1</v>
      </c>
      <c r="AB25">
        <v>10.5</v>
      </c>
      <c r="AL25">
        <f>SUM(AL16:AL24)</f>
        <v>125.1</v>
      </c>
      <c r="AM25">
        <v>10.5</v>
      </c>
      <c r="AS25">
        <f>SUM(AS16:AS24)</f>
        <v>125.1</v>
      </c>
      <c r="AT25">
        <v>10.5</v>
      </c>
    </row>
    <row r="26" spans="1:55">
      <c r="K26" t="s">
        <v>1916</v>
      </c>
      <c r="L26">
        <f>SUM(L17:L24)+K17+K22</f>
        <v>62.65</v>
      </c>
      <c r="M26">
        <f>SUM(M17:M25)</f>
        <v>125.1</v>
      </c>
      <c r="N26">
        <v>10.5</v>
      </c>
      <c r="P26">
        <f>SUM(O17:O29)</f>
        <v>31.169999999999995</v>
      </c>
      <c r="Q26" t="s">
        <v>1917</v>
      </c>
      <c r="AB26">
        <v>4.2</v>
      </c>
      <c r="AC26">
        <v>0.8</v>
      </c>
      <c r="AM26">
        <v>4.2</v>
      </c>
      <c r="AN26">
        <v>0.8</v>
      </c>
      <c r="AO26">
        <f>0.8*8</f>
        <v>6.4</v>
      </c>
      <c r="AT26">
        <v>4.2</v>
      </c>
      <c r="AU26">
        <v>0.8</v>
      </c>
      <c r="AV26">
        <f>0.8*4</f>
        <v>3.2</v>
      </c>
    </row>
    <row r="27" spans="1:55">
      <c r="N27">
        <v>4.2</v>
      </c>
      <c r="O27">
        <f>0.6*0.6</f>
        <v>0.36</v>
      </c>
      <c r="AB27">
        <v>13.4</v>
      </c>
      <c r="AC27">
        <v>1.85</v>
      </c>
      <c r="AM27">
        <v>13.4</v>
      </c>
      <c r="AN27">
        <v>1.85</v>
      </c>
      <c r="AO27">
        <f>1.5*2+2.1*2</f>
        <v>7.2</v>
      </c>
      <c r="AT27">
        <v>13.4</v>
      </c>
      <c r="AU27">
        <v>1.85</v>
      </c>
      <c r="AV27">
        <f>1.5*1+2.1*1</f>
        <v>3.6</v>
      </c>
    </row>
    <row r="28" spans="1:55">
      <c r="N28">
        <v>13.4</v>
      </c>
      <c r="O28">
        <f>1.5*2.1</f>
        <v>3.1500000000000004</v>
      </c>
      <c r="AB28">
        <v>23.4</v>
      </c>
      <c r="AC28">
        <f>2.8*3</f>
        <v>8.3999999999999986</v>
      </c>
      <c r="AM28">
        <v>23.4</v>
      </c>
      <c r="AN28">
        <f>2.8*3</f>
        <v>8.3999999999999986</v>
      </c>
      <c r="AO28">
        <f>2.4*12+1.5*12</f>
        <v>46.8</v>
      </c>
      <c r="AT28">
        <v>23.4</v>
      </c>
      <c r="AU28">
        <f>2.8*3</f>
        <v>8.3999999999999986</v>
      </c>
      <c r="AV28">
        <f>2.4*6+1.5*6</f>
        <v>23.4</v>
      </c>
    </row>
    <row r="29" spans="1:55">
      <c r="N29">
        <v>23.4</v>
      </c>
      <c r="O29">
        <f>2.4*1.5*3</f>
        <v>10.799999999999999</v>
      </c>
      <c r="AB29">
        <f>SUM(AB16:AB28)</f>
        <v>96.75</v>
      </c>
      <c r="AC29">
        <f>1.3*2</f>
        <v>2.6</v>
      </c>
      <c r="AM29">
        <f>SUM(AM16:AM28)</f>
        <v>96.75</v>
      </c>
      <c r="AN29">
        <f>1.3*2</f>
        <v>2.6</v>
      </c>
      <c r="AO29">
        <f>1*4+2.1*4</f>
        <v>12.4</v>
      </c>
      <c r="AT29">
        <f>SUM(AT16:AT28)</f>
        <v>96.75</v>
      </c>
      <c r="AU29">
        <f>1.3*2</f>
        <v>2.6</v>
      </c>
      <c r="AV29">
        <f>1*2+2.1*2</f>
        <v>6.2</v>
      </c>
    </row>
    <row r="30" spans="1:55">
      <c r="N30">
        <f>SUM(N17:N29)</f>
        <v>96.75</v>
      </c>
    </row>
    <row r="34" spans="1:12">
      <c r="A34" t="s">
        <v>1934</v>
      </c>
    </row>
    <row r="35" spans="1:12">
      <c r="A35" t="s">
        <v>1935</v>
      </c>
      <c r="B35" t="s">
        <v>1936</v>
      </c>
      <c r="C35">
        <f>+A42+B43</f>
        <v>104.44999999999999</v>
      </c>
      <c r="D35">
        <v>3.1</v>
      </c>
      <c r="E35">
        <f>+C35*D35</f>
        <v>323.79499999999996</v>
      </c>
      <c r="F35">
        <f>SUM(C36:C42)+SUM(D36:D42)</f>
        <v>27.449999999999996</v>
      </c>
      <c r="G35">
        <f>+E35-F35</f>
        <v>296.34499999999997</v>
      </c>
      <c r="H35" t="s">
        <v>1937</v>
      </c>
      <c r="I35">
        <f>SUM(H36:H40)+SUM(I37:I42)</f>
        <v>34.950000000000003</v>
      </c>
      <c r="J35">
        <v>0.4</v>
      </c>
      <c r="K35">
        <v>0.2</v>
      </c>
      <c r="L35">
        <f>+I35*J35*K35</f>
        <v>2.7960000000000007</v>
      </c>
    </row>
    <row r="36" spans="1:12">
      <c r="A36">
        <v>23.8</v>
      </c>
      <c r="B36">
        <v>10</v>
      </c>
      <c r="C36">
        <f>2.4*1.5*3</f>
        <v>10.799999999999999</v>
      </c>
      <c r="H36">
        <f>2.8*3</f>
        <v>8.3999999999999986</v>
      </c>
    </row>
    <row r="37" spans="1:12">
      <c r="A37">
        <v>8.15</v>
      </c>
      <c r="B37">
        <v>2</v>
      </c>
      <c r="C37">
        <f>1*2.1</f>
        <v>2.1</v>
      </c>
      <c r="H37">
        <v>1.35</v>
      </c>
      <c r="I37">
        <v>1.1000000000000001</v>
      </c>
    </row>
    <row r="38" spans="1:12">
      <c r="A38">
        <v>7</v>
      </c>
      <c r="B38">
        <v>3.3</v>
      </c>
      <c r="C38">
        <v>2.1</v>
      </c>
      <c r="H38">
        <v>1.35</v>
      </c>
      <c r="I38">
        <f>1.3+1</f>
        <v>2.2999999999999998</v>
      </c>
    </row>
    <row r="39" spans="1:12">
      <c r="A39">
        <v>5.0999999999999996</v>
      </c>
      <c r="B39">
        <v>13.2</v>
      </c>
      <c r="C39">
        <f>1.5*2.1</f>
        <v>3.1500000000000004</v>
      </c>
      <c r="D39">
        <v>2.1</v>
      </c>
      <c r="H39">
        <v>1.9</v>
      </c>
      <c r="I39">
        <v>1.35</v>
      </c>
    </row>
    <row r="40" spans="1:12">
      <c r="A40">
        <v>8.1999999999999993</v>
      </c>
      <c r="B40">
        <v>3.2</v>
      </c>
      <c r="H40">
        <v>12</v>
      </c>
    </row>
    <row r="41" spans="1:12">
      <c r="A41">
        <v>2.9</v>
      </c>
      <c r="B41">
        <v>7.6</v>
      </c>
    </row>
    <row r="42" spans="1:12">
      <c r="A42">
        <f>SUM(A36:A41)</f>
        <v>55.15</v>
      </c>
      <c r="B42">
        <v>10</v>
      </c>
      <c r="D42">
        <f>4.8*1.5</f>
        <v>7.1999999999999993</v>
      </c>
      <c r="I42">
        <v>5.2</v>
      </c>
    </row>
    <row r="43" spans="1:12">
      <c r="B43">
        <f>SUM(B36:B42)</f>
        <v>49.3</v>
      </c>
    </row>
  </sheetData>
  <mergeCells count="7">
    <mergeCell ref="Z7:AC7"/>
    <mergeCell ref="C7:F7"/>
    <mergeCell ref="C11:F11"/>
    <mergeCell ref="H7:K7"/>
    <mergeCell ref="M7:P7"/>
    <mergeCell ref="M11:P11"/>
    <mergeCell ref="T7:W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34"/>
  <sheetViews>
    <sheetView topLeftCell="A95" workbookViewId="0">
      <selection activeCell="D120" sqref="D120"/>
    </sheetView>
  </sheetViews>
  <sheetFormatPr baseColWidth="10" defaultColWidth="9.140625" defaultRowHeight="15"/>
  <cols>
    <col min="1" max="1" width="6.7109375" style="30" customWidth="1"/>
    <col min="2" max="2" width="58.85546875" style="44" customWidth="1"/>
    <col min="3" max="3" width="6.42578125" style="30" customWidth="1"/>
    <col min="4" max="4" width="10.5703125" bestFit="1" customWidth="1"/>
    <col min="5" max="5" width="9.140625" style="30"/>
    <col min="6" max="6" width="15.42578125" style="28" bestFit="1" customWidth="1"/>
    <col min="7" max="16384" width="9.140625" style="30"/>
  </cols>
  <sheetData>
    <row r="1" spans="1:6" ht="11.25">
      <c r="A1" s="28" t="s">
        <v>124</v>
      </c>
      <c r="B1" s="29" t="s">
        <v>1</v>
      </c>
      <c r="C1" s="28" t="s">
        <v>3</v>
      </c>
      <c r="D1" s="31" t="s">
        <v>1484</v>
      </c>
      <c r="E1" s="31" t="s">
        <v>125</v>
      </c>
      <c r="F1" s="28" t="s">
        <v>126</v>
      </c>
    </row>
    <row r="2" spans="1:6" ht="11.25">
      <c r="B2" s="32" t="s">
        <v>127</v>
      </c>
      <c r="C2" s="33"/>
      <c r="D2" s="30"/>
      <c r="F2" s="34"/>
    </row>
    <row r="3" spans="1:6" ht="11.25">
      <c r="B3" s="35" t="s">
        <v>128</v>
      </c>
      <c r="C3" s="36" t="s">
        <v>129</v>
      </c>
      <c r="D3" s="37">
        <f>+F3-E3</f>
        <v>311.01694915254234</v>
      </c>
      <c r="E3" s="31">
        <f t="shared" ref="E3:E10" si="0">+F3*0.18/1.18</f>
        <v>55.983050847457633</v>
      </c>
      <c r="F3" s="38">
        <v>367</v>
      </c>
    </row>
    <row r="4" spans="1:6" ht="11.25">
      <c r="B4" s="35" t="s">
        <v>130</v>
      </c>
      <c r="C4" s="36" t="s">
        <v>129</v>
      </c>
      <c r="D4" s="37">
        <f t="shared" ref="D4:D10" si="1">+F4-E4</f>
        <v>788.98305084745766</v>
      </c>
      <c r="E4" s="31">
        <f t="shared" si="0"/>
        <v>142.01694915254237</v>
      </c>
      <c r="F4" s="38">
        <v>931</v>
      </c>
    </row>
    <row r="5" spans="1:6" ht="11.25">
      <c r="B5" s="35" t="s">
        <v>131</v>
      </c>
      <c r="C5" s="36" t="s">
        <v>129</v>
      </c>
      <c r="D5" s="37">
        <f t="shared" si="1"/>
        <v>389.83050847457628</v>
      </c>
      <c r="E5" s="31">
        <f t="shared" si="0"/>
        <v>70.169491525423723</v>
      </c>
      <c r="F5" s="38">
        <v>460</v>
      </c>
    </row>
    <row r="6" spans="1:6" ht="11.25">
      <c r="B6" s="35" t="s">
        <v>132</v>
      </c>
      <c r="C6" s="36" t="s">
        <v>129</v>
      </c>
      <c r="D6" s="37">
        <f t="shared" si="1"/>
        <v>238.98305084745763</v>
      </c>
      <c r="E6" s="31">
        <f t="shared" si="0"/>
        <v>43.016949152542374</v>
      </c>
      <c r="F6" s="38">
        <v>282</v>
      </c>
    </row>
    <row r="7" spans="1:6" ht="11.25">
      <c r="B7" s="35" t="s">
        <v>133</v>
      </c>
      <c r="C7" s="36" t="s">
        <v>129</v>
      </c>
      <c r="D7" s="37">
        <f t="shared" si="1"/>
        <v>247.45762711864407</v>
      </c>
      <c r="E7" s="31">
        <f t="shared" si="0"/>
        <v>44.542372881355931</v>
      </c>
      <c r="F7" s="38">
        <v>292</v>
      </c>
    </row>
    <row r="8" spans="1:6" ht="11.25">
      <c r="B8" s="35" t="s">
        <v>134</v>
      </c>
      <c r="C8" s="36" t="s">
        <v>129</v>
      </c>
      <c r="D8" s="37">
        <f t="shared" si="1"/>
        <v>218.64406779661016</v>
      </c>
      <c r="E8" s="31">
        <f t="shared" si="0"/>
        <v>39.355932203389834</v>
      </c>
      <c r="F8" s="39">
        <v>258</v>
      </c>
    </row>
    <row r="9" spans="1:6" ht="11.25">
      <c r="B9" s="35" t="s">
        <v>135</v>
      </c>
      <c r="C9" s="36" t="s">
        <v>129</v>
      </c>
      <c r="D9" s="37">
        <f t="shared" si="1"/>
        <v>422.03389830508473</v>
      </c>
      <c r="E9" s="31">
        <f t="shared" si="0"/>
        <v>75.966101694915253</v>
      </c>
      <c r="F9" s="40">
        <v>498</v>
      </c>
    </row>
    <row r="10" spans="1:6" ht="11.25">
      <c r="B10" s="35" t="s">
        <v>136</v>
      </c>
      <c r="C10" s="36" t="s">
        <v>129</v>
      </c>
      <c r="D10" s="37">
        <f t="shared" si="1"/>
        <v>305.08474576271186</v>
      </c>
      <c r="E10" s="31">
        <f t="shared" si="0"/>
        <v>54.915254237288138</v>
      </c>
      <c r="F10" s="38">
        <v>360</v>
      </c>
    </row>
    <row r="11" spans="1:6" ht="11.25">
      <c r="B11" s="35"/>
      <c r="C11" s="36"/>
      <c r="D11" s="30"/>
      <c r="F11" s="41"/>
    </row>
    <row r="12" spans="1:6" ht="11.25">
      <c r="B12" s="32" t="s">
        <v>137</v>
      </c>
      <c r="C12" s="36"/>
      <c r="D12" s="30"/>
      <c r="F12" s="41"/>
    </row>
    <row r="13" spans="1:6" ht="11.25">
      <c r="B13" s="35" t="s">
        <v>138</v>
      </c>
      <c r="C13" s="36" t="s">
        <v>20</v>
      </c>
      <c r="D13" s="37">
        <f t="shared" ref="D13:D28" si="2">+F13-E13</f>
        <v>1101.6949152542372</v>
      </c>
      <c r="E13" s="31">
        <f t="shared" ref="E13:E28" si="3">+F13*0.18/1.18</f>
        <v>198.30508474576271</v>
      </c>
      <c r="F13" s="38">
        <v>1300</v>
      </c>
    </row>
    <row r="14" spans="1:6" ht="11.25">
      <c r="B14" s="35" t="s">
        <v>139</v>
      </c>
      <c r="C14" s="36" t="s">
        <v>20</v>
      </c>
      <c r="D14" s="37">
        <f t="shared" si="2"/>
        <v>1016.9491525423729</v>
      </c>
      <c r="E14" s="31">
        <f t="shared" si="3"/>
        <v>183.05084745762713</v>
      </c>
      <c r="F14" s="38">
        <v>1200</v>
      </c>
    </row>
    <row r="15" spans="1:6" ht="11.25">
      <c r="B15" s="35" t="s">
        <v>140</v>
      </c>
      <c r="C15" s="36" t="s">
        <v>20</v>
      </c>
      <c r="D15" s="37">
        <f t="shared" si="2"/>
        <v>1864.406779661017</v>
      </c>
      <c r="E15" s="31">
        <f t="shared" si="3"/>
        <v>335.59322033898309</v>
      </c>
      <c r="F15" s="38">
        <v>2200</v>
      </c>
    </row>
    <row r="16" spans="1:6" ht="11.25">
      <c r="B16" s="35" t="s">
        <v>141</v>
      </c>
      <c r="C16" s="36" t="s">
        <v>20</v>
      </c>
      <c r="D16" s="37">
        <f t="shared" si="2"/>
        <v>1525.4237288135594</v>
      </c>
      <c r="E16" s="31">
        <f t="shared" si="3"/>
        <v>274.57627118644069</v>
      </c>
      <c r="F16" s="38">
        <v>1800</v>
      </c>
    </row>
    <row r="17" spans="2:6" ht="11.25">
      <c r="B17" s="35" t="s">
        <v>142</v>
      </c>
      <c r="C17" s="36" t="s">
        <v>20</v>
      </c>
      <c r="D17" s="37">
        <f t="shared" si="2"/>
        <v>1101.6949152542372</v>
      </c>
      <c r="E17" s="31">
        <f t="shared" si="3"/>
        <v>198.30508474576271</v>
      </c>
      <c r="F17" s="38">
        <v>1300</v>
      </c>
    </row>
    <row r="18" spans="2:6" ht="11.25">
      <c r="B18" s="35" t="s">
        <v>143</v>
      </c>
      <c r="C18" s="36" t="s">
        <v>20</v>
      </c>
      <c r="D18" s="37">
        <f t="shared" si="2"/>
        <v>1101.6949152542372</v>
      </c>
      <c r="E18" s="31">
        <f t="shared" si="3"/>
        <v>198.30508474576271</v>
      </c>
      <c r="F18" s="38">
        <v>1300</v>
      </c>
    </row>
    <row r="19" spans="2:6" ht="11.25">
      <c r="B19" s="35" t="s">
        <v>144</v>
      </c>
      <c r="C19" s="36" t="s">
        <v>20</v>
      </c>
      <c r="D19" s="37">
        <f t="shared" si="2"/>
        <v>1101.6949152542372</v>
      </c>
      <c r="E19" s="31">
        <f t="shared" si="3"/>
        <v>198.30508474576271</v>
      </c>
      <c r="F19" s="38">
        <v>1300</v>
      </c>
    </row>
    <row r="20" spans="2:6" ht="11.25">
      <c r="B20" s="35" t="s">
        <v>145</v>
      </c>
      <c r="C20" s="36" t="s">
        <v>20</v>
      </c>
      <c r="D20" s="37">
        <f t="shared" si="2"/>
        <v>550.84745762711862</v>
      </c>
      <c r="E20" s="31">
        <f t="shared" si="3"/>
        <v>99.152542372881356</v>
      </c>
      <c r="F20" s="38">
        <v>650</v>
      </c>
    </row>
    <row r="21" spans="2:6" ht="11.25">
      <c r="B21" s="35" t="s">
        <v>146</v>
      </c>
      <c r="C21" s="36" t="s">
        <v>20</v>
      </c>
      <c r="D21" s="37">
        <f t="shared" si="2"/>
        <v>466.10169491525426</v>
      </c>
      <c r="E21" s="31">
        <f t="shared" si="3"/>
        <v>83.898305084745772</v>
      </c>
      <c r="F21" s="38">
        <v>550</v>
      </c>
    </row>
    <row r="22" spans="2:6" ht="11.25">
      <c r="B22" s="35" t="s">
        <v>147</v>
      </c>
      <c r="C22" s="36" t="s">
        <v>20</v>
      </c>
      <c r="D22" s="37">
        <f t="shared" si="2"/>
        <v>572.03389830508468</v>
      </c>
      <c r="E22" s="31">
        <f t="shared" si="3"/>
        <v>102.96610169491527</v>
      </c>
      <c r="F22" s="38">
        <v>675</v>
      </c>
    </row>
    <row r="23" spans="2:6" ht="11.25">
      <c r="B23" s="35" t="s">
        <v>148</v>
      </c>
      <c r="C23" s="36" t="s">
        <v>20</v>
      </c>
      <c r="D23" s="37">
        <f t="shared" si="2"/>
        <v>635.59322033898309</v>
      </c>
      <c r="E23" s="31">
        <f t="shared" si="3"/>
        <v>114.40677966101696</v>
      </c>
      <c r="F23" s="38">
        <v>750</v>
      </c>
    </row>
    <row r="24" spans="2:6" ht="11.25">
      <c r="B24" s="35" t="s">
        <v>149</v>
      </c>
      <c r="C24" s="36" t="s">
        <v>20</v>
      </c>
      <c r="D24" s="37">
        <f t="shared" si="2"/>
        <v>720.33898305084745</v>
      </c>
      <c r="E24" s="31">
        <f t="shared" si="3"/>
        <v>129.66101694915255</v>
      </c>
      <c r="F24" s="38">
        <v>850</v>
      </c>
    </row>
    <row r="25" spans="2:6" ht="11.25">
      <c r="B25" s="35" t="s">
        <v>150</v>
      </c>
      <c r="C25" s="36" t="s">
        <v>20</v>
      </c>
      <c r="D25" s="37">
        <f t="shared" si="2"/>
        <v>762.71186440677968</v>
      </c>
      <c r="E25" s="31">
        <f t="shared" si="3"/>
        <v>137.28813559322035</v>
      </c>
      <c r="F25" s="38">
        <v>900</v>
      </c>
    </row>
    <row r="26" spans="2:6" ht="11.25">
      <c r="B26" s="35" t="s">
        <v>151</v>
      </c>
      <c r="C26" s="36" t="s">
        <v>20</v>
      </c>
      <c r="D26" s="37">
        <f t="shared" si="2"/>
        <v>805.08474576271192</v>
      </c>
      <c r="E26" s="31">
        <f t="shared" si="3"/>
        <v>144.91525423728814</v>
      </c>
      <c r="F26" s="38">
        <v>950</v>
      </c>
    </row>
    <row r="27" spans="2:6" ht="11.25">
      <c r="B27" s="35" t="s">
        <v>152</v>
      </c>
      <c r="C27" s="36" t="s">
        <v>153</v>
      </c>
      <c r="D27" s="37">
        <f t="shared" si="2"/>
        <v>1.0593220338983051</v>
      </c>
      <c r="E27" s="31">
        <f t="shared" si="3"/>
        <v>0.19067796610169491</v>
      </c>
      <c r="F27" s="38">
        <v>1.25</v>
      </c>
    </row>
    <row r="28" spans="2:6" ht="11.25">
      <c r="B28" s="35" t="s">
        <v>154</v>
      </c>
      <c r="C28" s="36" t="s">
        <v>3</v>
      </c>
      <c r="D28" s="37">
        <f t="shared" si="2"/>
        <v>1694.9152542372881</v>
      </c>
      <c r="E28" s="31">
        <f t="shared" si="3"/>
        <v>305.08474576271186</v>
      </c>
      <c r="F28" s="38">
        <v>2000</v>
      </c>
    </row>
    <row r="29" spans="2:6" ht="11.25">
      <c r="B29" s="35"/>
      <c r="C29" s="36"/>
      <c r="D29" s="30"/>
      <c r="E29" s="31"/>
      <c r="F29" s="41"/>
    </row>
    <row r="30" spans="2:6" ht="11.25">
      <c r="B30" s="32" t="s">
        <v>155</v>
      </c>
      <c r="C30" s="36"/>
      <c r="D30" s="30"/>
      <c r="E30" s="31"/>
      <c r="F30" s="41"/>
    </row>
    <row r="31" spans="2:6" ht="11.25">
      <c r="B31" s="35" t="s">
        <v>156</v>
      </c>
      <c r="C31" s="36" t="s">
        <v>3</v>
      </c>
      <c r="D31" s="37">
        <f>+F31-E31</f>
        <v>2542.3728813559323</v>
      </c>
      <c r="E31" s="31">
        <f>+F31*0.18/1.18</f>
        <v>457.62711864406782</v>
      </c>
      <c r="F31" s="38">
        <v>3000</v>
      </c>
    </row>
    <row r="32" spans="2:6" ht="11.25">
      <c r="B32" s="35" t="s">
        <v>157</v>
      </c>
      <c r="C32" s="36" t="s">
        <v>3</v>
      </c>
      <c r="D32" s="37">
        <f t="shared" ref="D32:D54" si="4">+F32-E32</f>
        <v>2118.6440677966102</v>
      </c>
      <c r="E32" s="31">
        <f>+F32*0.18/1.18</f>
        <v>381.35593220338984</v>
      </c>
      <c r="F32" s="38">
        <v>2500</v>
      </c>
    </row>
    <row r="33" spans="2:6" ht="11.25">
      <c r="B33" s="35" t="s">
        <v>158</v>
      </c>
      <c r="C33" s="36" t="s">
        <v>19</v>
      </c>
      <c r="D33" s="37">
        <f t="shared" si="4"/>
        <v>101.69491525423729</v>
      </c>
      <c r="E33" s="31">
        <f>+F33*0.18/1.18</f>
        <v>18.305084745762709</v>
      </c>
      <c r="F33" s="38">
        <v>120</v>
      </c>
    </row>
    <row r="34" spans="2:6" ht="11.25">
      <c r="B34" s="35" t="s">
        <v>159</v>
      </c>
      <c r="C34" s="36" t="s">
        <v>160</v>
      </c>
      <c r="D34" s="37">
        <f t="shared" si="4"/>
        <v>15.254237288135593</v>
      </c>
      <c r="E34" s="31">
        <f>+F34*0.18/1.18</f>
        <v>2.7457627118644066</v>
      </c>
      <c r="F34" s="38">
        <v>18</v>
      </c>
    </row>
    <row r="35" spans="2:6" ht="11.25">
      <c r="B35" s="35" t="s">
        <v>161</v>
      </c>
      <c r="C35" s="36" t="s">
        <v>19</v>
      </c>
      <c r="D35" s="37">
        <f t="shared" si="4"/>
        <v>67.79661016949153</v>
      </c>
      <c r="E35" s="31">
        <f>+F35*0.18/1.18</f>
        <v>12.203389830508474</v>
      </c>
      <c r="F35" s="38">
        <v>80</v>
      </c>
    </row>
    <row r="36" spans="2:6" ht="11.25">
      <c r="B36" s="35"/>
      <c r="C36" s="36"/>
      <c r="D36" s="37"/>
      <c r="E36" s="31"/>
      <c r="F36" s="41"/>
    </row>
    <row r="37" spans="2:6" ht="11.25">
      <c r="B37" s="32" t="s">
        <v>162</v>
      </c>
      <c r="C37" s="36"/>
      <c r="D37" s="37"/>
      <c r="E37" s="31"/>
      <c r="F37" s="41"/>
    </row>
    <row r="38" spans="2:6" ht="11.25">
      <c r="B38" s="35" t="s">
        <v>163</v>
      </c>
      <c r="C38" s="36" t="s">
        <v>164</v>
      </c>
      <c r="D38" s="37">
        <f t="shared" si="4"/>
        <v>3305.0847457627119</v>
      </c>
      <c r="E38" s="31">
        <f t="shared" ref="E38:E54" si="5">+F38*0.18/1.18</f>
        <v>594.9152542372882</v>
      </c>
      <c r="F38" s="42">
        <v>3900</v>
      </c>
    </row>
    <row r="39" spans="2:6" ht="11.25">
      <c r="B39" s="43" t="s">
        <v>165</v>
      </c>
      <c r="C39" s="36" t="s">
        <v>166</v>
      </c>
      <c r="D39" s="37">
        <f t="shared" si="4"/>
        <v>16681.355932203391</v>
      </c>
      <c r="E39" s="31">
        <f t="shared" si="5"/>
        <v>3002.6440677966102</v>
      </c>
      <c r="F39" s="38">
        <v>19684</v>
      </c>
    </row>
    <row r="40" spans="2:6" ht="11.25">
      <c r="B40" s="44" t="s">
        <v>167</v>
      </c>
      <c r="C40" s="36" t="s">
        <v>166</v>
      </c>
      <c r="D40" s="37">
        <f t="shared" si="4"/>
        <v>13559.322033898305</v>
      </c>
      <c r="E40" s="31">
        <f t="shared" si="5"/>
        <v>2440.6779661016949</v>
      </c>
      <c r="F40" s="42">
        <v>16000</v>
      </c>
    </row>
    <row r="41" spans="2:6" ht="11.25">
      <c r="B41" s="44" t="s">
        <v>168</v>
      </c>
      <c r="C41" s="36" t="s">
        <v>166</v>
      </c>
      <c r="D41" s="37">
        <f t="shared" si="4"/>
        <v>8177.9661016949149</v>
      </c>
      <c r="E41" s="31">
        <f t="shared" si="5"/>
        <v>1472.0338983050849</v>
      </c>
      <c r="F41" s="38">
        <v>9650</v>
      </c>
    </row>
    <row r="42" spans="2:6" ht="11.25">
      <c r="B42" s="44" t="s">
        <v>169</v>
      </c>
      <c r="C42" s="36" t="s">
        <v>166</v>
      </c>
      <c r="D42" s="37">
        <f t="shared" si="4"/>
        <v>15521.186440677966</v>
      </c>
      <c r="E42" s="31">
        <f t="shared" si="5"/>
        <v>2793.8135593220341</v>
      </c>
      <c r="F42" s="38">
        <v>18315</v>
      </c>
    </row>
    <row r="43" spans="2:6" ht="11.25">
      <c r="B43" s="44" t="s">
        <v>170</v>
      </c>
      <c r="C43" s="36" t="s">
        <v>166</v>
      </c>
      <c r="D43" s="37">
        <f t="shared" si="4"/>
        <v>9491.5254237288136</v>
      </c>
      <c r="E43" s="31">
        <f t="shared" si="5"/>
        <v>1708.4745762711866</v>
      </c>
      <c r="F43" s="38">
        <v>11200</v>
      </c>
    </row>
    <row r="44" spans="2:6" ht="11.25">
      <c r="B44" s="44" t="s">
        <v>171</v>
      </c>
      <c r="C44" s="36" t="s">
        <v>166</v>
      </c>
      <c r="D44" s="37">
        <f t="shared" si="4"/>
        <v>7711.8644067796613</v>
      </c>
      <c r="E44" s="31">
        <f t="shared" si="5"/>
        <v>1388.1355932203392</v>
      </c>
      <c r="F44" s="38">
        <v>9100</v>
      </c>
    </row>
    <row r="45" spans="2:6" ht="11.25">
      <c r="B45" s="44" t="s">
        <v>172</v>
      </c>
      <c r="C45" s="36" t="s">
        <v>166</v>
      </c>
      <c r="D45" s="37">
        <f t="shared" si="4"/>
        <v>16594.576271186441</v>
      </c>
      <c r="E45" s="31">
        <f t="shared" si="5"/>
        <v>2987.023728813559</v>
      </c>
      <c r="F45" s="38">
        <v>19581.599999999999</v>
      </c>
    </row>
    <row r="46" spans="2:6" ht="11.25">
      <c r="B46" s="44" t="s">
        <v>173</v>
      </c>
      <c r="C46" s="36" t="s">
        <v>166</v>
      </c>
      <c r="D46" s="37">
        <f t="shared" si="4"/>
        <v>11071.525423728814</v>
      </c>
      <c r="E46" s="31">
        <f t="shared" si="5"/>
        <v>1992.8745762711862</v>
      </c>
      <c r="F46" s="38">
        <v>13064.4</v>
      </c>
    </row>
    <row r="47" spans="2:6" ht="11.25">
      <c r="B47" s="44" t="s">
        <v>174</v>
      </c>
      <c r="C47" s="36" t="s">
        <v>166</v>
      </c>
      <c r="D47" s="37">
        <f t="shared" si="4"/>
        <v>16616.440677966104</v>
      </c>
      <c r="E47" s="31">
        <f t="shared" si="5"/>
        <v>2990.9593220338988</v>
      </c>
      <c r="F47" s="38">
        <v>19607.400000000001</v>
      </c>
    </row>
    <row r="48" spans="2:6" ht="11.25">
      <c r="B48" s="44" t="s">
        <v>175</v>
      </c>
      <c r="C48" s="36" t="s">
        <v>166</v>
      </c>
      <c r="D48" s="37">
        <f t="shared" si="4"/>
        <v>10186.101694915254</v>
      </c>
      <c r="E48" s="31">
        <f t="shared" si="5"/>
        <v>1833.4983050847457</v>
      </c>
      <c r="F48" s="38">
        <v>12019.6</v>
      </c>
    </row>
    <row r="49" spans="2:6" ht="11.25">
      <c r="B49" s="44" t="s">
        <v>176</v>
      </c>
      <c r="C49" s="36" t="s">
        <v>166</v>
      </c>
      <c r="D49" s="37">
        <f t="shared" si="4"/>
        <v>7780.7288135593226</v>
      </c>
      <c r="E49" s="31">
        <f t="shared" si="5"/>
        <v>1400.5311864406781</v>
      </c>
      <c r="F49" s="38">
        <v>9181.26</v>
      </c>
    </row>
    <row r="50" spans="2:6" ht="11.25">
      <c r="B50" s="35" t="s">
        <v>177</v>
      </c>
      <c r="C50" s="36" t="s">
        <v>178</v>
      </c>
      <c r="D50" s="37">
        <f t="shared" si="4"/>
        <v>93.220338983050851</v>
      </c>
      <c r="E50" s="31">
        <f t="shared" si="5"/>
        <v>16.779661016949156</v>
      </c>
      <c r="F50" s="38">
        <v>110</v>
      </c>
    </row>
    <row r="51" spans="2:6" ht="11.25">
      <c r="B51" s="35" t="s">
        <v>179</v>
      </c>
      <c r="C51" s="36" t="s">
        <v>178</v>
      </c>
      <c r="D51" s="37">
        <f t="shared" si="4"/>
        <v>93.220338983050851</v>
      </c>
      <c r="E51" s="31">
        <f t="shared" si="5"/>
        <v>16.779661016949156</v>
      </c>
      <c r="F51" s="38">
        <v>110</v>
      </c>
    </row>
    <row r="52" spans="2:6" ht="11.25">
      <c r="B52" s="35" t="s">
        <v>180</v>
      </c>
      <c r="C52" s="36" t="s">
        <v>178</v>
      </c>
      <c r="D52" s="37">
        <f t="shared" si="4"/>
        <v>50.847457627118644</v>
      </c>
      <c r="E52" s="31">
        <f t="shared" si="5"/>
        <v>9.1525423728813546</v>
      </c>
      <c r="F52" s="38">
        <v>60</v>
      </c>
    </row>
    <row r="53" spans="2:6" ht="11.25">
      <c r="B53" s="35" t="s">
        <v>181</v>
      </c>
      <c r="C53" s="36" t="s">
        <v>178</v>
      </c>
      <c r="D53" s="37">
        <f t="shared" si="4"/>
        <v>44.067796610169495</v>
      </c>
      <c r="E53" s="31">
        <f t="shared" si="5"/>
        <v>7.9322033898305087</v>
      </c>
      <c r="F53" s="38">
        <v>52</v>
      </c>
    </row>
    <row r="54" spans="2:6" ht="11.25">
      <c r="B54" s="35" t="s">
        <v>182</v>
      </c>
      <c r="C54" s="36" t="s">
        <v>178</v>
      </c>
      <c r="D54" s="37">
        <f t="shared" si="4"/>
        <v>80.508474576271183</v>
      </c>
      <c r="E54" s="31">
        <f t="shared" si="5"/>
        <v>14.491525423728813</v>
      </c>
      <c r="F54" s="38">
        <v>95</v>
      </c>
    </row>
    <row r="55" spans="2:6" ht="11.25">
      <c r="B55" s="35"/>
      <c r="C55" s="36"/>
      <c r="D55" s="30"/>
      <c r="E55" s="31"/>
      <c r="F55" s="41"/>
    </row>
    <row r="56" spans="2:6" ht="11.25">
      <c r="B56" s="32" t="s">
        <v>183</v>
      </c>
      <c r="C56" s="36"/>
      <c r="D56" s="30"/>
      <c r="E56" s="31"/>
      <c r="F56" s="41"/>
    </row>
    <row r="57" spans="2:6" ht="11.25">
      <c r="B57" s="35" t="s">
        <v>184</v>
      </c>
      <c r="C57" s="36" t="s">
        <v>3</v>
      </c>
      <c r="D57" s="30"/>
      <c r="E57" s="31">
        <f>+F57*0.18/1.18</f>
        <v>3420.7627118644068</v>
      </c>
      <c r="F57" s="38">
        <v>22425</v>
      </c>
    </row>
    <row r="58" spans="2:6" ht="11.25">
      <c r="B58" s="35" t="s">
        <v>185</v>
      </c>
      <c r="C58" s="36" t="s">
        <v>3</v>
      </c>
      <c r="D58" s="30"/>
      <c r="E58" s="31">
        <f>+F58*0.18/1.18</f>
        <v>5453.3898305084749</v>
      </c>
      <c r="F58" s="38">
        <v>35750</v>
      </c>
    </row>
    <row r="59" spans="2:6" ht="11.25">
      <c r="B59" s="35"/>
      <c r="C59" s="36"/>
      <c r="D59" s="30"/>
      <c r="E59" s="31"/>
      <c r="F59" s="41"/>
    </row>
    <row r="60" spans="2:6" ht="11.25">
      <c r="B60" s="32" t="s">
        <v>186</v>
      </c>
      <c r="C60" s="36"/>
      <c r="D60" s="30"/>
      <c r="E60" s="31"/>
      <c r="F60" s="41"/>
    </row>
    <row r="61" spans="2:6" ht="11.25">
      <c r="B61" s="35" t="s">
        <v>187</v>
      </c>
      <c r="C61" s="36" t="s">
        <v>9</v>
      </c>
      <c r="D61" s="30"/>
      <c r="E61" s="31">
        <f>+F61*0.18/1.18</f>
        <v>9.1525423728813546</v>
      </c>
      <c r="F61" s="38">
        <v>60</v>
      </c>
    </row>
    <row r="62" spans="2:6" ht="11.25">
      <c r="B62" s="35"/>
      <c r="C62" s="36"/>
      <c r="D62" s="30"/>
      <c r="E62" s="31"/>
      <c r="F62" s="41"/>
    </row>
    <row r="63" spans="2:6" ht="11.25">
      <c r="B63" s="32" t="s">
        <v>188</v>
      </c>
      <c r="C63" s="36"/>
      <c r="D63" s="30"/>
      <c r="E63" s="31"/>
      <c r="F63" s="41"/>
    </row>
    <row r="64" spans="2:6" ht="11.25">
      <c r="B64" s="35" t="s">
        <v>189</v>
      </c>
      <c r="C64" s="36" t="s">
        <v>190</v>
      </c>
      <c r="D64" s="37">
        <f>+F64-E64</f>
        <v>101.69491525423729</v>
      </c>
      <c r="E64" s="31">
        <f t="shared" ref="E64:E100" si="6">+F64*0.18/1.18</f>
        <v>18.305084745762709</v>
      </c>
      <c r="F64" s="38">
        <v>120</v>
      </c>
    </row>
    <row r="65" spans="2:6" ht="11.25">
      <c r="B65" s="35" t="s">
        <v>191</v>
      </c>
      <c r="C65" s="36" t="s">
        <v>190</v>
      </c>
      <c r="D65" s="37">
        <f t="shared" ref="D65:D68" si="7">+F65-E65</f>
        <v>101.69491525423729</v>
      </c>
      <c r="E65" s="31">
        <f t="shared" si="6"/>
        <v>18.305084745762709</v>
      </c>
      <c r="F65" s="38">
        <v>120</v>
      </c>
    </row>
    <row r="66" spans="2:6" ht="11.25">
      <c r="B66" s="35" t="s">
        <v>192</v>
      </c>
      <c r="C66" s="36" t="s">
        <v>190</v>
      </c>
      <c r="D66" s="37">
        <f t="shared" si="7"/>
        <v>118.64406779661017</v>
      </c>
      <c r="E66" s="31">
        <f t="shared" si="6"/>
        <v>21.35593220338983</v>
      </c>
      <c r="F66" s="38">
        <v>140</v>
      </c>
    </row>
    <row r="67" spans="2:6" ht="11.25">
      <c r="B67" s="35" t="s">
        <v>193</v>
      </c>
      <c r="C67" s="36" t="s">
        <v>190</v>
      </c>
      <c r="D67" s="37">
        <f t="shared" si="7"/>
        <v>118.64406779661017</v>
      </c>
      <c r="E67" s="31">
        <f t="shared" si="6"/>
        <v>21.35593220338983</v>
      </c>
      <c r="F67" s="38">
        <v>140</v>
      </c>
    </row>
    <row r="68" spans="2:6" ht="11.25">
      <c r="B68" s="35" t="s">
        <v>194</v>
      </c>
      <c r="C68" s="36" t="s">
        <v>190</v>
      </c>
      <c r="D68" s="37">
        <f t="shared" si="7"/>
        <v>80.508474576271183</v>
      </c>
      <c r="E68" s="31">
        <f t="shared" si="6"/>
        <v>14.491525423728813</v>
      </c>
      <c r="F68" s="38">
        <v>95</v>
      </c>
    </row>
    <row r="69" spans="2:6" ht="11.25">
      <c r="B69" s="35" t="s">
        <v>195</v>
      </c>
      <c r="C69" s="36" t="s">
        <v>190</v>
      </c>
      <c r="D69" s="30"/>
      <c r="E69" s="31">
        <f t="shared" si="6"/>
        <v>14.491525423728813</v>
      </c>
      <c r="F69" s="38">
        <v>95</v>
      </c>
    </row>
    <row r="70" spans="2:6" ht="11.25">
      <c r="B70" s="35" t="s">
        <v>196</v>
      </c>
      <c r="C70" s="36" t="s">
        <v>3</v>
      </c>
      <c r="D70" s="30"/>
      <c r="E70" s="31">
        <f t="shared" si="6"/>
        <v>320.3389830508475</v>
      </c>
      <c r="F70" s="38">
        <v>2100</v>
      </c>
    </row>
    <row r="71" spans="2:6" ht="11.25">
      <c r="B71" s="35" t="s">
        <v>197</v>
      </c>
      <c r="C71" s="36" t="s">
        <v>3</v>
      </c>
      <c r="D71" s="30"/>
      <c r="E71" s="31">
        <f t="shared" si="6"/>
        <v>289.83050847457628</v>
      </c>
      <c r="F71" s="38">
        <v>1900</v>
      </c>
    </row>
    <row r="72" spans="2:6" ht="11.25">
      <c r="B72" s="35" t="s">
        <v>198</v>
      </c>
      <c r="C72" s="36" t="s">
        <v>3</v>
      </c>
      <c r="D72" s="30"/>
      <c r="E72" s="31">
        <f t="shared" si="6"/>
        <v>228.81355932203391</v>
      </c>
      <c r="F72" s="38">
        <v>1500</v>
      </c>
    </row>
    <row r="73" spans="2:6" ht="11.25">
      <c r="B73" s="35" t="s">
        <v>199</v>
      </c>
      <c r="C73" s="36" t="s">
        <v>3</v>
      </c>
      <c r="D73" s="30"/>
      <c r="E73" s="31">
        <f t="shared" si="6"/>
        <v>396.61016949152543</v>
      </c>
      <c r="F73" s="38">
        <v>2600</v>
      </c>
    </row>
    <row r="74" spans="2:6" ht="11.25">
      <c r="B74" s="35" t="s">
        <v>200</v>
      </c>
      <c r="C74" s="36" t="s">
        <v>3</v>
      </c>
      <c r="D74" s="30"/>
      <c r="E74" s="31">
        <f t="shared" si="6"/>
        <v>442.37288135593224</v>
      </c>
      <c r="F74" s="38">
        <v>2900</v>
      </c>
    </row>
    <row r="75" spans="2:6" ht="11.25">
      <c r="B75" s="35" t="s">
        <v>201</v>
      </c>
      <c r="C75" s="36" t="s">
        <v>3</v>
      </c>
      <c r="D75" s="30"/>
      <c r="E75" s="31">
        <f t="shared" si="6"/>
        <v>396.61016949152543</v>
      </c>
      <c r="F75" s="38">
        <v>2600</v>
      </c>
    </row>
    <row r="76" spans="2:6" ht="11.25">
      <c r="B76" s="35" t="s">
        <v>202</v>
      </c>
      <c r="C76" s="36" t="s">
        <v>3</v>
      </c>
      <c r="D76" s="30"/>
      <c r="E76" s="31">
        <f t="shared" si="6"/>
        <v>472.88135593220341</v>
      </c>
      <c r="F76" s="38">
        <v>3100</v>
      </c>
    </row>
    <row r="77" spans="2:6" ht="11.25">
      <c r="B77" s="35" t="s">
        <v>203</v>
      </c>
      <c r="C77" s="36" t="s">
        <v>3</v>
      </c>
      <c r="D77" s="30"/>
      <c r="E77" s="31">
        <f t="shared" si="6"/>
        <v>472.88135593220341</v>
      </c>
      <c r="F77" s="38">
        <v>3100</v>
      </c>
    </row>
    <row r="78" spans="2:6" ht="11.25">
      <c r="B78" s="35" t="s">
        <v>204</v>
      </c>
      <c r="C78" s="36" t="s">
        <v>3</v>
      </c>
      <c r="D78" s="30"/>
      <c r="E78" s="31">
        <f t="shared" si="6"/>
        <v>472.88135593220341</v>
      </c>
      <c r="F78" s="38">
        <v>3100</v>
      </c>
    </row>
    <row r="79" spans="2:6" ht="11.25">
      <c r="B79" s="35" t="s">
        <v>205</v>
      </c>
      <c r="C79" s="36" t="s">
        <v>3</v>
      </c>
      <c r="D79" s="30"/>
      <c r="E79" s="31">
        <f t="shared" si="6"/>
        <v>472.88135593220341</v>
      </c>
      <c r="F79" s="38">
        <v>3100</v>
      </c>
    </row>
    <row r="80" spans="2:6" ht="11.25">
      <c r="B80" s="35" t="s">
        <v>206</v>
      </c>
      <c r="C80" s="36" t="s">
        <v>3</v>
      </c>
      <c r="D80" s="30"/>
      <c r="E80" s="31">
        <f t="shared" si="6"/>
        <v>396.61016949152543</v>
      </c>
      <c r="F80" s="38">
        <v>2600</v>
      </c>
    </row>
    <row r="81" spans="2:6" ht="11.25">
      <c r="B81" s="35" t="s">
        <v>207</v>
      </c>
      <c r="C81" s="36" t="s">
        <v>3</v>
      </c>
      <c r="D81" s="30"/>
      <c r="E81" s="31">
        <f t="shared" si="6"/>
        <v>396.61016949152543</v>
      </c>
      <c r="F81" s="38">
        <v>2600</v>
      </c>
    </row>
    <row r="82" spans="2:6" ht="11.25">
      <c r="B82" s="35" t="s">
        <v>208</v>
      </c>
      <c r="C82" s="36" t="s">
        <v>3</v>
      </c>
      <c r="D82" s="30"/>
      <c r="E82" s="31">
        <f t="shared" si="6"/>
        <v>427.11864406779665</v>
      </c>
      <c r="F82" s="38">
        <v>2800</v>
      </c>
    </row>
    <row r="83" spans="2:6" ht="11.25">
      <c r="B83" s="35" t="s">
        <v>209</v>
      </c>
      <c r="C83" s="36" t="s">
        <v>3</v>
      </c>
      <c r="D83" s="30"/>
      <c r="E83" s="31">
        <f t="shared" si="6"/>
        <v>347.79661016949154</v>
      </c>
      <c r="F83" s="38">
        <v>2280</v>
      </c>
    </row>
    <row r="84" spans="2:6" ht="11.25">
      <c r="B84" s="35" t="s">
        <v>210</v>
      </c>
      <c r="C84" s="36" t="s">
        <v>3</v>
      </c>
      <c r="D84" s="30"/>
      <c r="E84" s="31">
        <f t="shared" si="6"/>
        <v>434.74576271186442</v>
      </c>
      <c r="F84" s="38">
        <v>2850</v>
      </c>
    </row>
    <row r="85" spans="2:6" ht="11.25">
      <c r="B85" s="35" t="s">
        <v>211</v>
      </c>
      <c r="C85" s="36" t="s">
        <v>3</v>
      </c>
      <c r="D85" s="30"/>
      <c r="E85" s="31">
        <f t="shared" si="6"/>
        <v>456.86440677966107</v>
      </c>
      <c r="F85" s="38">
        <v>2995</v>
      </c>
    </row>
    <row r="86" spans="2:6" ht="11.25">
      <c r="B86" s="35" t="s">
        <v>212</v>
      </c>
      <c r="C86" s="36" t="s">
        <v>3</v>
      </c>
      <c r="D86" s="30"/>
      <c r="E86" s="31">
        <f t="shared" si="6"/>
        <v>503.38983050847463</v>
      </c>
      <c r="F86" s="38">
        <v>3300</v>
      </c>
    </row>
    <row r="87" spans="2:6" ht="11.25">
      <c r="B87" s="35" t="s">
        <v>213</v>
      </c>
      <c r="C87" s="36" t="s">
        <v>3</v>
      </c>
      <c r="D87" s="30"/>
      <c r="E87" s="31">
        <f t="shared" si="6"/>
        <v>503.38983050847463</v>
      </c>
      <c r="F87" s="38">
        <v>3300</v>
      </c>
    </row>
    <row r="88" spans="2:6" ht="11.25">
      <c r="B88" s="35" t="s">
        <v>214</v>
      </c>
      <c r="C88" s="36" t="s">
        <v>3</v>
      </c>
      <c r="D88" s="30"/>
      <c r="E88" s="31">
        <f t="shared" si="6"/>
        <v>402.71186440677968</v>
      </c>
      <c r="F88" s="38">
        <v>2640</v>
      </c>
    </row>
    <row r="89" spans="2:6" ht="11.25">
      <c r="B89" s="35" t="s">
        <v>215</v>
      </c>
      <c r="C89" s="36" t="s">
        <v>3</v>
      </c>
      <c r="D89" s="30"/>
      <c r="E89" s="31">
        <f t="shared" si="6"/>
        <v>503.38983050847463</v>
      </c>
      <c r="F89" s="38">
        <v>3300</v>
      </c>
    </row>
    <row r="90" spans="2:6" ht="11.25">
      <c r="B90" s="35" t="s">
        <v>216</v>
      </c>
      <c r="C90" s="36" t="s">
        <v>3</v>
      </c>
      <c r="D90" s="30"/>
      <c r="E90" s="31">
        <f t="shared" si="6"/>
        <v>442.37288135593224</v>
      </c>
      <c r="F90" s="38">
        <v>2900</v>
      </c>
    </row>
    <row r="91" spans="2:6" ht="11.25">
      <c r="B91" s="35" t="s">
        <v>217</v>
      </c>
      <c r="C91" s="36" t="s">
        <v>3</v>
      </c>
      <c r="D91" s="30"/>
      <c r="E91" s="31">
        <f t="shared" si="6"/>
        <v>3.8135593220338984</v>
      </c>
      <c r="F91" s="38">
        <v>25</v>
      </c>
    </row>
    <row r="92" spans="2:6" ht="11.25">
      <c r="B92" s="35" t="s">
        <v>218</v>
      </c>
      <c r="C92" s="36" t="s">
        <v>3</v>
      </c>
      <c r="D92" s="30"/>
      <c r="E92" s="31">
        <f t="shared" si="6"/>
        <v>4.5762711864406773</v>
      </c>
      <c r="F92" s="38">
        <v>30</v>
      </c>
    </row>
    <row r="93" spans="2:6" ht="11.25">
      <c r="B93" s="35" t="s">
        <v>219</v>
      </c>
      <c r="C93" s="36" t="s">
        <v>3</v>
      </c>
      <c r="D93" s="30"/>
      <c r="E93" s="31">
        <f t="shared" si="6"/>
        <v>625.42372881355936</v>
      </c>
      <c r="F93" s="38">
        <v>4100</v>
      </c>
    </row>
    <row r="94" spans="2:6" ht="11.25">
      <c r="B94" s="35" t="s">
        <v>220</v>
      </c>
      <c r="C94" s="36" t="s">
        <v>3</v>
      </c>
      <c r="D94" s="30"/>
      <c r="E94" s="31">
        <f t="shared" si="6"/>
        <v>472.88135593220341</v>
      </c>
      <c r="F94" s="38">
        <v>3100</v>
      </c>
    </row>
    <row r="95" spans="2:6" ht="11.25">
      <c r="B95" s="35" t="s">
        <v>221</v>
      </c>
      <c r="C95" s="36" t="s">
        <v>3</v>
      </c>
      <c r="D95" s="30"/>
      <c r="E95" s="31">
        <f t="shared" si="6"/>
        <v>366.10169491525426</v>
      </c>
      <c r="F95" s="38">
        <v>2400</v>
      </c>
    </row>
    <row r="96" spans="2:6" ht="11.25">
      <c r="B96" s="35" t="s">
        <v>222</v>
      </c>
      <c r="C96" s="36" t="s">
        <v>178</v>
      </c>
      <c r="D96" s="37">
        <f>+F96-E96</f>
        <v>44.067796610169495</v>
      </c>
      <c r="E96" s="31">
        <f t="shared" si="6"/>
        <v>7.9322033898305087</v>
      </c>
      <c r="F96" s="38">
        <v>52</v>
      </c>
    </row>
    <row r="97" spans="2:6" ht="11.25">
      <c r="B97" s="35" t="s">
        <v>223</v>
      </c>
      <c r="C97" s="36" t="s">
        <v>178</v>
      </c>
      <c r="D97" s="37">
        <f>+F97-E97</f>
        <v>80.508474576271183</v>
      </c>
      <c r="E97" s="31">
        <f t="shared" si="6"/>
        <v>14.491525423728813</v>
      </c>
      <c r="F97" s="38">
        <v>95</v>
      </c>
    </row>
    <row r="98" spans="2:6" ht="11.25">
      <c r="B98" s="35" t="s">
        <v>224</v>
      </c>
      <c r="C98" s="36" t="s">
        <v>178</v>
      </c>
      <c r="D98" s="30"/>
      <c r="E98" s="31">
        <f t="shared" si="6"/>
        <v>18.305084745762709</v>
      </c>
      <c r="F98" s="38">
        <v>120</v>
      </c>
    </row>
    <row r="99" spans="2:6" ht="11.25">
      <c r="B99" s="35" t="s">
        <v>225</v>
      </c>
      <c r="C99" s="36" t="s">
        <v>3</v>
      </c>
      <c r="D99" s="30"/>
      <c r="E99" s="31">
        <f t="shared" si="6"/>
        <v>26.694915254237291</v>
      </c>
      <c r="F99" s="38">
        <v>175</v>
      </c>
    </row>
    <row r="100" spans="2:6" ht="11.25">
      <c r="B100" s="44" t="s">
        <v>226</v>
      </c>
      <c r="C100" s="36" t="s">
        <v>3</v>
      </c>
      <c r="D100" s="30"/>
      <c r="E100" s="31">
        <f t="shared" si="6"/>
        <v>9.9152542372881349</v>
      </c>
      <c r="F100" s="38">
        <v>65</v>
      </c>
    </row>
    <row r="101" spans="2:6" ht="11.25">
      <c r="B101" s="35"/>
      <c r="C101" s="36"/>
      <c r="D101" s="30"/>
      <c r="E101" s="31"/>
      <c r="F101" s="41"/>
    </row>
    <row r="102" spans="2:6" ht="11.25">
      <c r="B102" s="32" t="s">
        <v>227</v>
      </c>
      <c r="C102" s="36"/>
      <c r="D102" s="30"/>
      <c r="E102" s="31"/>
      <c r="F102" s="41"/>
    </row>
    <row r="103" spans="2:6" ht="11.25">
      <c r="B103" s="35" t="s">
        <v>1694</v>
      </c>
      <c r="C103" s="36" t="s">
        <v>20</v>
      </c>
      <c r="D103" s="37">
        <f t="shared" ref="D103" si="8">+F103-E103</f>
        <v>4661.0169491525421</v>
      </c>
      <c r="E103" s="31">
        <f t="shared" ref="E103" si="9">+F103*0.18/1.18</f>
        <v>838.98305084745766</v>
      </c>
      <c r="F103" s="38">
        <v>5500</v>
      </c>
    </row>
    <row r="104" spans="2:6" ht="11.25">
      <c r="B104" s="35" t="s">
        <v>228</v>
      </c>
      <c r="C104" s="36" t="s">
        <v>20</v>
      </c>
      <c r="D104" s="37">
        <f t="shared" ref="D104:D114" si="10">+F104-E104</f>
        <v>5084.7457627118647</v>
      </c>
      <c r="E104" s="31">
        <f t="shared" ref="E104:E114" si="11">+F104*0.18/1.18</f>
        <v>915.25423728813564</v>
      </c>
      <c r="F104" s="38">
        <v>6000</v>
      </c>
    </row>
    <row r="105" spans="2:6" ht="11.25">
      <c r="B105" s="35" t="s">
        <v>229</v>
      </c>
      <c r="C105" s="36" t="s">
        <v>20</v>
      </c>
      <c r="D105" s="37">
        <f t="shared" si="10"/>
        <v>5677.9661016949149</v>
      </c>
      <c r="E105" s="31">
        <f t="shared" si="11"/>
        <v>1022.0338983050848</v>
      </c>
      <c r="F105" s="38">
        <v>6700</v>
      </c>
    </row>
    <row r="106" spans="2:6" ht="11.25">
      <c r="B106" s="35" t="s">
        <v>230</v>
      </c>
      <c r="C106" s="36" t="s">
        <v>20</v>
      </c>
      <c r="D106" s="37">
        <f t="shared" si="10"/>
        <v>5932.203389830509</v>
      </c>
      <c r="E106" s="31">
        <f t="shared" si="11"/>
        <v>1067.7966101694915</v>
      </c>
      <c r="F106" s="38">
        <v>7000</v>
      </c>
    </row>
    <row r="107" spans="2:6" ht="11.25">
      <c r="B107" s="35" t="s">
        <v>231</v>
      </c>
      <c r="C107" s="36" t="s">
        <v>20</v>
      </c>
      <c r="D107" s="37">
        <f t="shared" si="10"/>
        <v>6016.9491525423728</v>
      </c>
      <c r="E107" s="31">
        <f t="shared" si="11"/>
        <v>1083.0508474576272</v>
      </c>
      <c r="F107" s="38">
        <v>7100</v>
      </c>
    </row>
    <row r="108" spans="2:6" ht="11.25">
      <c r="B108" s="35" t="s">
        <v>232</v>
      </c>
      <c r="C108" s="36" t="s">
        <v>20</v>
      </c>
      <c r="D108" s="37">
        <f t="shared" si="10"/>
        <v>6144.0677966101694</v>
      </c>
      <c r="E108" s="31">
        <f t="shared" si="11"/>
        <v>1105.9322033898306</v>
      </c>
      <c r="F108" s="38">
        <v>7250</v>
      </c>
    </row>
    <row r="109" spans="2:6" ht="11.25">
      <c r="B109" s="35" t="s">
        <v>233</v>
      </c>
      <c r="C109" s="36" t="s">
        <v>20</v>
      </c>
      <c r="D109" s="37">
        <f t="shared" si="10"/>
        <v>6274.5762711864409</v>
      </c>
      <c r="E109" s="31">
        <f t="shared" si="11"/>
        <v>1129.4237288135594</v>
      </c>
      <c r="F109" s="38">
        <v>7404</v>
      </c>
    </row>
    <row r="110" spans="2:6" ht="11.25">
      <c r="B110" s="35" t="s">
        <v>234</v>
      </c>
      <c r="C110" s="36" t="s">
        <v>20</v>
      </c>
      <c r="D110" s="37">
        <f t="shared" si="10"/>
        <v>6610.1694915254238</v>
      </c>
      <c r="E110" s="31">
        <f t="shared" si="11"/>
        <v>1189.8305084745764</v>
      </c>
      <c r="F110" s="38">
        <v>7800</v>
      </c>
    </row>
    <row r="111" spans="2:6" ht="11.25">
      <c r="B111" s="35" t="s">
        <v>235</v>
      </c>
      <c r="C111" s="36" t="s">
        <v>20</v>
      </c>
      <c r="D111" s="37">
        <f t="shared" si="10"/>
        <v>7203.3898305084749</v>
      </c>
      <c r="E111" s="31">
        <f t="shared" si="11"/>
        <v>1296.6101694915255</v>
      </c>
      <c r="F111" s="38">
        <v>8500</v>
      </c>
    </row>
    <row r="112" spans="2:6" ht="11.25">
      <c r="B112" s="35" t="s">
        <v>236</v>
      </c>
      <c r="C112" s="36" t="s">
        <v>20</v>
      </c>
      <c r="D112" s="37">
        <f t="shared" si="10"/>
        <v>7584.7457627118638</v>
      </c>
      <c r="E112" s="31">
        <f t="shared" si="11"/>
        <v>1365.2542372881358</v>
      </c>
      <c r="F112" s="38">
        <v>8950</v>
      </c>
    </row>
    <row r="113" spans="2:6" ht="11.25">
      <c r="B113" s="35" t="s">
        <v>237</v>
      </c>
      <c r="C113" s="36" t="s">
        <v>20</v>
      </c>
      <c r="D113" s="37">
        <f t="shared" si="10"/>
        <v>1271.1864406779662</v>
      </c>
      <c r="E113" s="31">
        <f t="shared" si="11"/>
        <v>228.81355932203391</v>
      </c>
      <c r="F113" s="38">
        <v>1500</v>
      </c>
    </row>
    <row r="114" spans="2:6" ht="11.25">
      <c r="B114" s="35" t="s">
        <v>238</v>
      </c>
      <c r="C114" s="36" t="s">
        <v>239</v>
      </c>
      <c r="D114" s="37">
        <f t="shared" si="10"/>
        <v>10169.491525423729</v>
      </c>
      <c r="E114" s="31">
        <f t="shared" si="11"/>
        <v>1830.5084745762713</v>
      </c>
      <c r="F114" s="38">
        <v>12000</v>
      </c>
    </row>
    <row r="115" spans="2:6" ht="11.25">
      <c r="B115" s="35"/>
      <c r="C115" s="36"/>
      <c r="D115" s="30"/>
      <c r="E115" s="31"/>
      <c r="F115" s="41"/>
    </row>
    <row r="116" spans="2:6" ht="11.25">
      <c r="B116" s="32" t="s">
        <v>240</v>
      </c>
      <c r="C116" s="36"/>
      <c r="D116" s="30"/>
      <c r="E116" s="31"/>
      <c r="F116" s="41"/>
    </row>
    <row r="117" spans="2:6" ht="11.25">
      <c r="B117" s="35" t="s">
        <v>241</v>
      </c>
      <c r="C117" s="36" t="s">
        <v>3</v>
      </c>
      <c r="D117" s="37">
        <f t="shared" ref="D117:D120" si="12">+F117-E117</f>
        <v>34.745762711864408</v>
      </c>
      <c r="E117" s="31">
        <f>+F117*0.18/1.18</f>
        <v>6.2542372881355934</v>
      </c>
      <c r="F117" s="38">
        <v>41</v>
      </c>
    </row>
    <row r="118" spans="2:6" ht="11.25">
      <c r="B118" s="35" t="s">
        <v>242</v>
      </c>
      <c r="C118" s="36" t="s">
        <v>3</v>
      </c>
      <c r="D118" s="37">
        <f t="shared" si="12"/>
        <v>40.677966101694913</v>
      </c>
      <c r="E118" s="31">
        <f>+F118*0.18/1.18</f>
        <v>7.3220338983050857</v>
      </c>
      <c r="F118" s="38">
        <v>48</v>
      </c>
    </row>
    <row r="119" spans="2:6" ht="11.25">
      <c r="B119" s="35" t="s">
        <v>242</v>
      </c>
      <c r="C119" s="36" t="s">
        <v>3</v>
      </c>
      <c r="D119" s="37">
        <f t="shared" si="12"/>
        <v>32.20338983050847</v>
      </c>
      <c r="E119" s="31">
        <f>+F119*0.18/1.18</f>
        <v>5.796610169491526</v>
      </c>
      <c r="F119" s="38">
        <v>38</v>
      </c>
    </row>
    <row r="120" spans="2:6" ht="11.25">
      <c r="B120" s="35" t="s">
        <v>243</v>
      </c>
      <c r="C120" s="36" t="s">
        <v>3</v>
      </c>
      <c r="D120" s="37">
        <f t="shared" si="12"/>
        <v>49.152542372881356</v>
      </c>
      <c r="E120" s="31">
        <f>+F120*0.18/1.18</f>
        <v>8.8474576271186436</v>
      </c>
      <c r="F120" s="38">
        <v>58</v>
      </c>
    </row>
    <row r="121" spans="2:6" ht="11.25">
      <c r="B121" s="35"/>
      <c r="C121" s="36"/>
      <c r="D121" s="30"/>
      <c r="E121" s="31"/>
    </row>
    <row r="122" spans="2:6" ht="11.25">
      <c r="B122" s="32" t="s">
        <v>244</v>
      </c>
      <c r="C122" s="36"/>
      <c r="D122" s="30"/>
      <c r="E122" s="31"/>
      <c r="F122" s="41"/>
    </row>
    <row r="123" spans="2:6" ht="11.25">
      <c r="B123" s="35" t="s">
        <v>245</v>
      </c>
      <c r="C123" s="36" t="s">
        <v>3</v>
      </c>
      <c r="D123" s="30"/>
      <c r="E123" s="31">
        <f>+F123*0.18/1.18</f>
        <v>21.729661016949152</v>
      </c>
      <c r="F123" s="38">
        <v>142.44999999999999</v>
      </c>
    </row>
    <row r="124" spans="2:6" ht="11.25">
      <c r="B124" s="35" t="s">
        <v>246</v>
      </c>
      <c r="C124" s="36" t="s">
        <v>20</v>
      </c>
      <c r="D124" s="30"/>
      <c r="E124" s="31">
        <f>+F124*0.18/1.18</f>
        <v>482.91864406779666</v>
      </c>
      <c r="F124" s="38">
        <v>3165.8</v>
      </c>
    </row>
    <row r="125" spans="2:6" ht="11.25">
      <c r="B125" s="35"/>
      <c r="C125" s="36"/>
      <c r="D125" s="30"/>
      <c r="E125" s="31"/>
      <c r="F125" s="38"/>
    </row>
    <row r="126" spans="2:6" ht="11.25">
      <c r="B126" s="32" t="s">
        <v>247</v>
      </c>
      <c r="C126" s="36"/>
      <c r="D126" s="30"/>
      <c r="E126" s="31"/>
      <c r="F126" s="38"/>
    </row>
    <row r="127" spans="2:6" ht="11.25">
      <c r="B127" s="35" t="s">
        <v>248</v>
      </c>
      <c r="C127" s="36" t="s">
        <v>9</v>
      </c>
      <c r="D127" s="30"/>
      <c r="E127" s="31">
        <f>+F127*0.18/1.18</f>
        <v>22.881355932203391</v>
      </c>
      <c r="F127" s="38">
        <v>150</v>
      </c>
    </row>
    <row r="128" spans="2:6" ht="11.25">
      <c r="B128" s="35" t="s">
        <v>249</v>
      </c>
      <c r="C128" s="36" t="s">
        <v>9</v>
      </c>
      <c r="D128" s="30"/>
      <c r="E128" s="31">
        <f>+F128*0.18/1.18</f>
        <v>34.322033898305087</v>
      </c>
      <c r="F128" s="38">
        <v>225</v>
      </c>
    </row>
    <row r="129" spans="2:6" ht="11.25">
      <c r="B129" s="35" t="s">
        <v>250</v>
      </c>
      <c r="C129" s="36" t="s">
        <v>9</v>
      </c>
      <c r="D129" s="30"/>
      <c r="E129" s="31">
        <f>+F129*0.18/1.18</f>
        <v>27.457627118644069</v>
      </c>
      <c r="F129" s="38">
        <v>180</v>
      </c>
    </row>
    <row r="130" spans="2:6" ht="11.25">
      <c r="B130" s="35"/>
      <c r="C130" s="36"/>
      <c r="D130" s="30"/>
      <c r="E130" s="31"/>
      <c r="F130" s="38"/>
    </row>
    <row r="131" spans="2:6" ht="11.25">
      <c r="B131" s="32" t="s">
        <v>251</v>
      </c>
      <c r="C131" s="36"/>
      <c r="D131" s="30"/>
      <c r="E131" s="31"/>
      <c r="F131" s="38"/>
    </row>
    <row r="132" spans="2:6" ht="11.25">
      <c r="B132" s="35" t="s">
        <v>252</v>
      </c>
      <c r="C132" s="36" t="s">
        <v>3</v>
      </c>
      <c r="D132" s="30"/>
      <c r="E132" s="31">
        <f t="shared" ref="E132:E156" si="13">+F132*0.18/1.18</f>
        <v>266.94915254237287</v>
      </c>
      <c r="F132" s="38">
        <v>1750</v>
      </c>
    </row>
    <row r="133" spans="2:6" ht="11.25">
      <c r="B133" s="35" t="s">
        <v>253</v>
      </c>
      <c r="C133" s="36" t="s">
        <v>3</v>
      </c>
      <c r="D133" s="30"/>
      <c r="E133" s="31">
        <f t="shared" si="13"/>
        <v>144.91525423728814</v>
      </c>
      <c r="F133" s="38">
        <v>950</v>
      </c>
    </row>
    <row r="134" spans="2:6" ht="11.25">
      <c r="B134" s="35" t="s">
        <v>254</v>
      </c>
      <c r="C134" s="36" t="s">
        <v>3</v>
      </c>
      <c r="D134" s="30"/>
      <c r="E134" s="31">
        <f t="shared" si="13"/>
        <v>450</v>
      </c>
      <c r="F134" s="38">
        <v>2950</v>
      </c>
    </row>
    <row r="135" spans="2:6" ht="11.25">
      <c r="B135" s="35" t="s">
        <v>255</v>
      </c>
      <c r="C135" s="36" t="s">
        <v>3</v>
      </c>
      <c r="D135" s="30"/>
      <c r="E135" s="31">
        <f t="shared" si="13"/>
        <v>15.254237288135593</v>
      </c>
      <c r="F135" s="38">
        <v>100</v>
      </c>
    </row>
    <row r="136" spans="2:6" ht="11.25">
      <c r="B136" s="35" t="s">
        <v>256</v>
      </c>
      <c r="C136" s="36" t="s">
        <v>3</v>
      </c>
      <c r="D136" s="30"/>
      <c r="E136" s="31">
        <f t="shared" si="13"/>
        <v>18.305084745762709</v>
      </c>
      <c r="F136" s="38">
        <v>120</v>
      </c>
    </row>
    <row r="137" spans="2:6" ht="11.25">
      <c r="B137" s="35" t="s">
        <v>257</v>
      </c>
      <c r="C137" s="36" t="s">
        <v>3</v>
      </c>
      <c r="D137" s="30"/>
      <c r="E137" s="31">
        <f t="shared" si="13"/>
        <v>183.05084745762713</v>
      </c>
      <c r="F137" s="38">
        <v>1200</v>
      </c>
    </row>
    <row r="138" spans="2:6" ht="11.25">
      <c r="B138" s="35" t="s">
        <v>258</v>
      </c>
      <c r="C138" s="36" t="s">
        <v>3</v>
      </c>
      <c r="D138" s="30"/>
      <c r="E138" s="31">
        <f t="shared" si="13"/>
        <v>427.11864406779665</v>
      </c>
      <c r="F138" s="38">
        <v>2800</v>
      </c>
    </row>
    <row r="139" spans="2:6" ht="11.25">
      <c r="B139" s="35" t="s">
        <v>259</v>
      </c>
      <c r="C139" s="36" t="s">
        <v>3</v>
      </c>
      <c r="D139" s="30"/>
      <c r="E139" s="31">
        <f t="shared" si="13"/>
        <v>45.762711864406782</v>
      </c>
      <c r="F139" s="38">
        <v>300</v>
      </c>
    </row>
    <row r="140" spans="2:6" ht="11.25">
      <c r="B140" s="35" t="s">
        <v>260</v>
      </c>
      <c r="C140" s="36" t="s">
        <v>3</v>
      </c>
      <c r="D140" s="30"/>
      <c r="E140" s="31">
        <f t="shared" si="13"/>
        <v>114.40677966101696</v>
      </c>
      <c r="F140" s="38">
        <v>750</v>
      </c>
    </row>
    <row r="141" spans="2:6" ht="11.25">
      <c r="B141" s="35" t="s">
        <v>261</v>
      </c>
      <c r="C141" s="36" t="s">
        <v>3</v>
      </c>
      <c r="D141" s="30"/>
      <c r="E141" s="31">
        <f t="shared" si="13"/>
        <v>381.35593220338984</v>
      </c>
      <c r="F141" s="38">
        <v>2500</v>
      </c>
    </row>
    <row r="142" spans="2:6" ht="11.25">
      <c r="B142" s="35" t="s">
        <v>262</v>
      </c>
      <c r="C142" s="36" t="s">
        <v>3</v>
      </c>
      <c r="D142" s="30"/>
      <c r="E142" s="31">
        <f t="shared" si="13"/>
        <v>305.08474576271186</v>
      </c>
      <c r="F142" s="38">
        <v>2000</v>
      </c>
    </row>
    <row r="143" spans="2:6" ht="11.25">
      <c r="B143" s="35" t="s">
        <v>263</v>
      </c>
      <c r="C143" s="36" t="s">
        <v>14</v>
      </c>
      <c r="D143" s="30"/>
      <c r="E143" s="31">
        <f t="shared" si="13"/>
        <v>450</v>
      </c>
      <c r="F143" s="38">
        <v>2950</v>
      </c>
    </row>
    <row r="144" spans="2:6" ht="11.25">
      <c r="B144" s="35" t="s">
        <v>264</v>
      </c>
      <c r="C144" s="36" t="s">
        <v>3</v>
      </c>
      <c r="D144" s="30"/>
      <c r="E144" s="31">
        <f t="shared" si="13"/>
        <v>83.898305084745772</v>
      </c>
      <c r="F144" s="38">
        <v>550</v>
      </c>
    </row>
    <row r="145" spans="2:6" ht="11.25">
      <c r="B145" s="35" t="s">
        <v>265</v>
      </c>
      <c r="C145" s="36" t="s">
        <v>3</v>
      </c>
      <c r="D145" s="30"/>
      <c r="E145" s="31">
        <f t="shared" si="13"/>
        <v>37.372881355932208</v>
      </c>
      <c r="F145" s="38">
        <v>245</v>
      </c>
    </row>
    <row r="146" spans="2:6" ht="11.25">
      <c r="B146" s="35" t="s">
        <v>266</v>
      </c>
      <c r="C146" s="36" t="s">
        <v>3</v>
      </c>
      <c r="D146" s="30"/>
      <c r="E146" s="31">
        <f t="shared" si="13"/>
        <v>991.52542372881362</v>
      </c>
      <c r="F146" s="38">
        <v>6500</v>
      </c>
    </row>
    <row r="147" spans="2:6" ht="11.25">
      <c r="B147" s="35" t="s">
        <v>267</v>
      </c>
      <c r="C147" s="36" t="s">
        <v>3</v>
      </c>
      <c r="D147" s="30"/>
      <c r="E147" s="31">
        <f t="shared" si="13"/>
        <v>144.91525423728814</v>
      </c>
      <c r="F147" s="38">
        <v>950</v>
      </c>
    </row>
    <row r="148" spans="2:6" ht="11.25">
      <c r="B148" s="35" t="s">
        <v>268</v>
      </c>
      <c r="C148" s="36" t="s">
        <v>3</v>
      </c>
      <c r="D148" s="30"/>
      <c r="E148" s="31">
        <f t="shared" si="13"/>
        <v>144.91525423728814</v>
      </c>
      <c r="F148" s="38">
        <v>950</v>
      </c>
    </row>
    <row r="149" spans="2:6" ht="11.25">
      <c r="B149" s="35" t="s">
        <v>269</v>
      </c>
      <c r="C149" s="36" t="s">
        <v>3</v>
      </c>
      <c r="D149" s="30"/>
      <c r="E149" s="31">
        <f t="shared" si="13"/>
        <v>180.00000000000003</v>
      </c>
      <c r="F149" s="38">
        <v>1180</v>
      </c>
    </row>
    <row r="150" spans="2:6" ht="11.25">
      <c r="B150" s="35" t="s">
        <v>270</v>
      </c>
      <c r="C150" s="36" t="s">
        <v>3</v>
      </c>
      <c r="D150" s="30"/>
      <c r="E150" s="31">
        <f t="shared" si="13"/>
        <v>152.54237288135593</v>
      </c>
      <c r="F150" s="38">
        <v>1000</v>
      </c>
    </row>
    <row r="151" spans="2:6" ht="11.25">
      <c r="B151" s="35" t="s">
        <v>271</v>
      </c>
      <c r="C151" s="36" t="s">
        <v>3</v>
      </c>
      <c r="D151" s="30"/>
      <c r="E151" s="31">
        <f t="shared" si="13"/>
        <v>3043.2203389830511</v>
      </c>
      <c r="F151" s="38">
        <v>19950</v>
      </c>
    </row>
    <row r="152" spans="2:6" ht="11.25">
      <c r="B152" s="35" t="s">
        <v>272</v>
      </c>
      <c r="C152" s="36" t="s">
        <v>3</v>
      </c>
      <c r="D152" s="30"/>
      <c r="E152" s="31">
        <f t="shared" si="13"/>
        <v>2890.6779661016949</v>
      </c>
      <c r="F152" s="38">
        <v>18950</v>
      </c>
    </row>
    <row r="153" spans="2:6" ht="11.25">
      <c r="B153" s="35" t="s">
        <v>273</v>
      </c>
      <c r="C153" s="36" t="s">
        <v>3</v>
      </c>
      <c r="D153" s="30"/>
      <c r="E153" s="31">
        <f t="shared" si="13"/>
        <v>324</v>
      </c>
      <c r="F153" s="38">
        <v>2124</v>
      </c>
    </row>
    <row r="154" spans="2:6" ht="11.25">
      <c r="B154" s="35" t="s">
        <v>274</v>
      </c>
      <c r="C154" s="36" t="s">
        <v>3</v>
      </c>
      <c r="D154" s="30"/>
      <c r="E154" s="31">
        <f t="shared" si="13"/>
        <v>270</v>
      </c>
      <c r="F154" s="38">
        <v>1770</v>
      </c>
    </row>
    <row r="155" spans="2:6" ht="11.25">
      <c r="B155" s="35" t="s">
        <v>275</v>
      </c>
      <c r="C155" s="36" t="s">
        <v>9</v>
      </c>
      <c r="D155" s="30"/>
      <c r="E155" s="31">
        <f t="shared" si="13"/>
        <v>18</v>
      </c>
      <c r="F155" s="38">
        <v>118</v>
      </c>
    </row>
    <row r="156" spans="2:6" ht="11.25">
      <c r="B156" s="35" t="s">
        <v>276</v>
      </c>
      <c r="C156" s="36" t="s">
        <v>9</v>
      </c>
      <c r="D156" s="30"/>
      <c r="E156" s="31">
        <f t="shared" si="13"/>
        <v>125.84745762711866</v>
      </c>
      <c r="F156" s="38">
        <v>825</v>
      </c>
    </row>
    <row r="157" spans="2:6" ht="11.25">
      <c r="B157" s="35"/>
      <c r="C157" s="36"/>
      <c r="D157" s="30"/>
      <c r="E157" s="31"/>
    </row>
    <row r="158" spans="2:6" ht="11.25">
      <c r="B158" s="32" t="s">
        <v>277</v>
      </c>
      <c r="C158" s="36"/>
      <c r="D158" s="30"/>
      <c r="E158" s="31"/>
      <c r="F158" s="41"/>
    </row>
    <row r="159" spans="2:6" ht="11.25">
      <c r="B159" s="35" t="s">
        <v>278</v>
      </c>
      <c r="C159" s="36" t="s">
        <v>153</v>
      </c>
      <c r="D159" s="30"/>
      <c r="E159" s="31">
        <f t="shared" ref="E159:E164" si="14">+F159*0.18/1.18</f>
        <v>36.503389830508475</v>
      </c>
      <c r="F159" s="38">
        <v>239.3</v>
      </c>
    </row>
    <row r="160" spans="2:6" ht="11.25">
      <c r="B160" s="35" t="s">
        <v>279</v>
      </c>
      <c r="C160" s="36" t="s">
        <v>153</v>
      </c>
      <c r="D160" s="30"/>
      <c r="E160" s="31">
        <f t="shared" si="14"/>
        <v>39.081355932203394</v>
      </c>
      <c r="F160" s="38">
        <v>256.2</v>
      </c>
    </row>
    <row r="161" spans="2:6" ht="11.25">
      <c r="B161" s="35" t="s">
        <v>280</v>
      </c>
      <c r="C161" s="36" t="s">
        <v>153</v>
      </c>
      <c r="D161" s="30"/>
      <c r="E161" s="31">
        <f t="shared" si="14"/>
        <v>28.205084745762711</v>
      </c>
      <c r="F161" s="38">
        <v>184.9</v>
      </c>
    </row>
    <row r="162" spans="2:6" ht="11.25">
      <c r="B162" s="35" t="s">
        <v>281</v>
      </c>
      <c r="C162" s="36" t="s">
        <v>153</v>
      </c>
      <c r="D162" s="30"/>
      <c r="E162" s="31">
        <f t="shared" si="14"/>
        <v>31.484745762711867</v>
      </c>
      <c r="F162" s="38">
        <v>206.4</v>
      </c>
    </row>
    <row r="163" spans="2:6" ht="11.25">
      <c r="B163" s="35" t="s">
        <v>282</v>
      </c>
      <c r="C163" s="36" t="s">
        <v>283</v>
      </c>
      <c r="D163" s="30"/>
      <c r="E163" s="31">
        <f t="shared" si="14"/>
        <v>57.203389830508478</v>
      </c>
      <c r="F163" s="38">
        <v>375</v>
      </c>
    </row>
    <row r="164" spans="2:6" ht="11.25">
      <c r="B164" s="35" t="s">
        <v>284</v>
      </c>
      <c r="C164" s="36" t="s">
        <v>283</v>
      </c>
      <c r="D164" s="30"/>
      <c r="E164" s="31">
        <f t="shared" si="14"/>
        <v>57.203389830508478</v>
      </c>
      <c r="F164" s="38">
        <v>375</v>
      </c>
    </row>
    <row r="165" spans="2:6" ht="11.25">
      <c r="B165" s="35"/>
      <c r="C165" s="36"/>
      <c r="D165" s="30"/>
      <c r="E165" s="31"/>
      <c r="F165" s="41"/>
    </row>
    <row r="166" spans="2:6" ht="11.25">
      <c r="B166" s="32" t="s">
        <v>285</v>
      </c>
      <c r="C166" s="36"/>
      <c r="D166" s="30"/>
      <c r="E166" s="31"/>
      <c r="F166" s="41"/>
    </row>
    <row r="167" spans="2:6" ht="11.25">
      <c r="B167" s="35" t="s">
        <v>286</v>
      </c>
      <c r="C167" s="36" t="s">
        <v>3</v>
      </c>
      <c r="D167" s="30"/>
      <c r="E167" s="31"/>
      <c r="F167" s="38">
        <v>57.56</v>
      </c>
    </row>
    <row r="168" spans="2:6" ht="11.25">
      <c r="B168" s="35" t="s">
        <v>287</v>
      </c>
      <c r="C168" s="36" t="s">
        <v>3</v>
      </c>
      <c r="D168" s="30"/>
      <c r="E168" s="31"/>
      <c r="F168" s="38">
        <v>69.900000000000006</v>
      </c>
    </row>
    <row r="169" spans="2:6" ht="11.25">
      <c r="B169" s="35"/>
      <c r="C169" s="36"/>
      <c r="D169" s="30"/>
      <c r="E169" s="31"/>
      <c r="F169" s="41"/>
    </row>
    <row r="170" spans="2:6" ht="11.25">
      <c r="B170" s="32" t="s">
        <v>288</v>
      </c>
      <c r="C170" s="36"/>
      <c r="D170" s="30"/>
      <c r="E170" s="31"/>
      <c r="F170" s="41"/>
    </row>
    <row r="171" spans="2:6" ht="11.25">
      <c r="B171" s="35" t="s">
        <v>289</v>
      </c>
      <c r="C171" s="36" t="s">
        <v>290</v>
      </c>
      <c r="D171" s="30"/>
      <c r="E171" s="31">
        <f>+F171*0.18/1.18</f>
        <v>2288.1355932203392</v>
      </c>
      <c r="F171" s="38">
        <v>15000</v>
      </c>
    </row>
    <row r="172" spans="2:6" ht="11.25">
      <c r="B172" s="35" t="s">
        <v>289</v>
      </c>
      <c r="C172" s="36" t="s">
        <v>291</v>
      </c>
      <c r="D172" s="30"/>
      <c r="E172" s="31">
        <f>+F172*0.18/1.18</f>
        <v>28220.338983050849</v>
      </c>
      <c r="F172" s="38">
        <v>185000</v>
      </c>
    </row>
    <row r="173" spans="2:6" ht="11.25">
      <c r="B173" s="35"/>
      <c r="C173" s="36"/>
      <c r="D173" s="30"/>
      <c r="E173" s="31"/>
      <c r="F173" s="41"/>
    </row>
    <row r="174" spans="2:6" ht="11.25">
      <c r="B174" s="32" t="s">
        <v>292</v>
      </c>
      <c r="C174" s="36"/>
      <c r="D174" s="30"/>
      <c r="E174" s="31"/>
      <c r="F174" s="41"/>
    </row>
    <row r="175" spans="2:6" ht="11.25">
      <c r="B175" s="35" t="s">
        <v>293</v>
      </c>
      <c r="C175" s="36" t="s">
        <v>294</v>
      </c>
      <c r="D175" s="30"/>
      <c r="E175" s="31">
        <f t="shared" ref="E175:E187" si="15">+F175*0.18/1.18</f>
        <v>259.32203389830511</v>
      </c>
      <c r="F175" s="38">
        <v>1700</v>
      </c>
    </row>
    <row r="176" spans="2:6" ht="11.25">
      <c r="B176" s="35" t="s">
        <v>295</v>
      </c>
      <c r="C176" s="36" t="s">
        <v>294</v>
      </c>
      <c r="D176" s="30"/>
      <c r="E176" s="31">
        <f t="shared" si="15"/>
        <v>205.93220338983053</v>
      </c>
      <c r="F176" s="38">
        <v>1350</v>
      </c>
    </row>
    <row r="177" spans="2:6" ht="11.25">
      <c r="B177" s="35" t="s">
        <v>296</v>
      </c>
      <c r="C177" s="36" t="s">
        <v>294</v>
      </c>
      <c r="D177" s="30"/>
      <c r="E177" s="31">
        <f t="shared" si="15"/>
        <v>327.96610169491527</v>
      </c>
      <c r="F177" s="38">
        <v>2150</v>
      </c>
    </row>
    <row r="178" spans="2:6" ht="11.25">
      <c r="B178" s="35" t="s">
        <v>297</v>
      </c>
      <c r="C178" s="36" t="s">
        <v>294</v>
      </c>
      <c r="D178" s="30"/>
      <c r="E178" s="31">
        <f t="shared" si="15"/>
        <v>381.35593220338984</v>
      </c>
      <c r="F178" s="38">
        <v>2500</v>
      </c>
    </row>
    <row r="179" spans="2:6" ht="11.25">
      <c r="B179" s="35" t="s">
        <v>298</v>
      </c>
      <c r="C179" s="36" t="s">
        <v>294</v>
      </c>
      <c r="D179" s="30"/>
      <c r="E179" s="31">
        <f t="shared" si="15"/>
        <v>533.89830508474574</v>
      </c>
      <c r="F179" s="38">
        <v>3500</v>
      </c>
    </row>
    <row r="180" spans="2:6" ht="11.25">
      <c r="B180" s="35" t="s">
        <v>299</v>
      </c>
      <c r="C180" s="36" t="s">
        <v>294</v>
      </c>
      <c r="D180" s="30"/>
      <c r="E180" s="31">
        <f t="shared" si="15"/>
        <v>533.89830508474574</v>
      </c>
      <c r="F180" s="38">
        <v>3500</v>
      </c>
    </row>
    <row r="181" spans="2:6" ht="11.25">
      <c r="B181" s="35" t="s">
        <v>300</v>
      </c>
      <c r="C181" s="36" t="s">
        <v>294</v>
      </c>
      <c r="D181" s="30"/>
      <c r="E181" s="31">
        <f t="shared" si="15"/>
        <v>716.94915254237287</v>
      </c>
      <c r="F181" s="38">
        <v>4700</v>
      </c>
    </row>
    <row r="182" spans="2:6" ht="11.25">
      <c r="B182" s="35" t="s">
        <v>301</v>
      </c>
      <c r="C182" s="36" t="s">
        <v>294</v>
      </c>
      <c r="D182" s="30"/>
      <c r="E182" s="31">
        <f t="shared" si="15"/>
        <v>533.89830508474574</v>
      </c>
      <c r="F182" s="38">
        <v>3500</v>
      </c>
    </row>
    <row r="183" spans="2:6" ht="11.25">
      <c r="B183" s="35" t="s">
        <v>302</v>
      </c>
      <c r="C183" s="36" t="s">
        <v>294</v>
      </c>
      <c r="D183" s="30"/>
      <c r="E183" s="31">
        <f t="shared" si="15"/>
        <v>427.11864406779665</v>
      </c>
      <c r="F183" s="38">
        <v>2800</v>
      </c>
    </row>
    <row r="184" spans="2:6" ht="11.25">
      <c r="B184" s="35" t="s">
        <v>303</v>
      </c>
      <c r="C184" s="36" t="s">
        <v>294</v>
      </c>
      <c r="D184" s="30"/>
      <c r="E184" s="31">
        <f t="shared" si="15"/>
        <v>625.42372881355936</v>
      </c>
      <c r="F184" s="38">
        <v>4100</v>
      </c>
    </row>
    <row r="185" spans="2:6" ht="11.25">
      <c r="B185" s="35" t="s">
        <v>304</v>
      </c>
      <c r="C185" s="36" t="s">
        <v>294</v>
      </c>
      <c r="D185" s="30"/>
      <c r="E185" s="31">
        <f t="shared" si="15"/>
        <v>991.52542372881362</v>
      </c>
      <c r="F185" s="38">
        <v>6500</v>
      </c>
    </row>
    <row r="186" spans="2:6" ht="11.25">
      <c r="B186" s="35" t="s">
        <v>305</v>
      </c>
      <c r="C186" s="36" t="s">
        <v>294</v>
      </c>
      <c r="D186" s="30"/>
      <c r="E186" s="31">
        <f t="shared" si="15"/>
        <v>1754.2372881355934</v>
      </c>
      <c r="F186" s="38">
        <v>11500</v>
      </c>
    </row>
    <row r="187" spans="2:6" ht="11.25">
      <c r="B187" s="35" t="s">
        <v>306</v>
      </c>
      <c r="C187" s="36" t="s">
        <v>294</v>
      </c>
      <c r="D187" s="30"/>
      <c r="E187" s="31">
        <f t="shared" si="15"/>
        <v>610.16949152542372</v>
      </c>
      <c r="F187" s="38">
        <v>4000</v>
      </c>
    </row>
    <row r="188" spans="2:6" ht="11.25">
      <c r="B188" s="32" t="s">
        <v>307</v>
      </c>
      <c r="C188" s="36"/>
      <c r="D188" s="30"/>
      <c r="E188" s="31"/>
      <c r="F188" s="41"/>
    </row>
    <row r="189" spans="2:6" ht="11.25">
      <c r="B189" s="35"/>
      <c r="C189" s="36"/>
      <c r="D189" s="30"/>
      <c r="E189" s="31"/>
      <c r="F189" s="41"/>
    </row>
    <row r="190" spans="2:6" ht="11.25">
      <c r="B190" s="32" t="s">
        <v>308</v>
      </c>
      <c r="C190" s="36"/>
      <c r="D190" s="30"/>
      <c r="E190" s="31"/>
      <c r="F190" s="41"/>
    </row>
    <row r="191" spans="2:6" ht="11.25">
      <c r="B191" s="35" t="s">
        <v>309</v>
      </c>
      <c r="C191" s="36" t="s">
        <v>3</v>
      </c>
      <c r="D191" s="30"/>
      <c r="E191" s="31">
        <f t="shared" ref="E191:E199" si="16">+F191*0.18/1.18</f>
        <v>1220.3389830508474</v>
      </c>
      <c r="F191" s="38">
        <v>8000</v>
      </c>
    </row>
    <row r="192" spans="2:6" ht="11.25">
      <c r="B192" s="35" t="s">
        <v>310</v>
      </c>
      <c r="C192" s="36" t="s">
        <v>3</v>
      </c>
      <c r="D192" s="30"/>
      <c r="E192" s="31">
        <f t="shared" si="16"/>
        <v>2288.1355932203392</v>
      </c>
      <c r="F192" s="38">
        <v>15000</v>
      </c>
    </row>
    <row r="193" spans="2:6" ht="11.25">
      <c r="B193" s="35" t="s">
        <v>311</v>
      </c>
      <c r="C193" s="36" t="s">
        <v>3</v>
      </c>
      <c r="D193" s="30"/>
      <c r="E193" s="31">
        <f t="shared" si="16"/>
        <v>2288.1355932203392</v>
      </c>
      <c r="F193" s="38">
        <v>15000</v>
      </c>
    </row>
    <row r="194" spans="2:6" ht="11.25">
      <c r="B194" s="35" t="s">
        <v>312</v>
      </c>
      <c r="C194" s="36" t="s">
        <v>3</v>
      </c>
      <c r="D194" s="30"/>
      <c r="E194" s="31">
        <f t="shared" si="16"/>
        <v>2288.1355932203392</v>
      </c>
      <c r="F194" s="38">
        <v>15000</v>
      </c>
    </row>
    <row r="195" spans="2:6" ht="11.25">
      <c r="B195" s="35" t="s">
        <v>313</v>
      </c>
      <c r="C195" s="36" t="s">
        <v>3</v>
      </c>
      <c r="D195" s="30"/>
      <c r="E195" s="31">
        <f t="shared" si="16"/>
        <v>2288.1355932203392</v>
      </c>
      <c r="F195" s="38">
        <v>15000</v>
      </c>
    </row>
    <row r="196" spans="2:6" ht="11.25">
      <c r="B196" s="35" t="s">
        <v>314</v>
      </c>
      <c r="C196" s="36" t="s">
        <v>3</v>
      </c>
      <c r="D196" s="30"/>
      <c r="E196" s="31">
        <f t="shared" si="16"/>
        <v>1830.5084745762713</v>
      </c>
      <c r="F196" s="38">
        <v>12000</v>
      </c>
    </row>
    <row r="197" spans="2:6" ht="11.25">
      <c r="B197" s="35" t="s">
        <v>315</v>
      </c>
      <c r="C197" s="36" t="s">
        <v>3</v>
      </c>
      <c r="D197" s="30"/>
      <c r="E197" s="31">
        <f t="shared" si="16"/>
        <v>2288.1355932203392</v>
      </c>
      <c r="F197" s="38">
        <v>15000</v>
      </c>
    </row>
    <row r="198" spans="2:6" ht="11.25">
      <c r="B198" s="35" t="s">
        <v>316</v>
      </c>
      <c r="C198" s="36" t="s">
        <v>3</v>
      </c>
      <c r="D198" s="30"/>
      <c r="E198" s="31">
        <f t="shared" si="16"/>
        <v>2288.1355932203392</v>
      </c>
      <c r="F198" s="38">
        <v>15000</v>
      </c>
    </row>
    <row r="199" spans="2:6" ht="11.25">
      <c r="B199" s="35" t="s">
        <v>317</v>
      </c>
      <c r="C199" s="36" t="s">
        <v>3</v>
      </c>
      <c r="D199" s="30"/>
      <c r="E199" s="31">
        <f t="shared" si="16"/>
        <v>2822.0338983050847</v>
      </c>
      <c r="F199" s="38">
        <v>18500</v>
      </c>
    </row>
    <row r="200" spans="2:6" ht="11.25">
      <c r="B200" s="45"/>
      <c r="D200" s="30"/>
      <c r="E200" s="31"/>
    </row>
    <row r="201" spans="2:6" ht="11.25">
      <c r="B201" s="32" t="s">
        <v>318</v>
      </c>
      <c r="C201" s="36"/>
      <c r="D201" s="30"/>
      <c r="E201" s="31"/>
      <c r="F201" s="41"/>
    </row>
    <row r="202" spans="2:6" ht="11.25">
      <c r="B202" s="35" t="s">
        <v>319</v>
      </c>
      <c r="C202" s="36" t="s">
        <v>290</v>
      </c>
      <c r="D202" s="30"/>
      <c r="E202" s="31">
        <f>+F202*0.18/1.18</f>
        <v>381.35593220338984</v>
      </c>
      <c r="F202" s="38">
        <v>2500</v>
      </c>
    </row>
    <row r="203" spans="2:6" ht="11.25">
      <c r="B203" s="35" t="s">
        <v>320</v>
      </c>
      <c r="C203" s="36" t="s">
        <v>290</v>
      </c>
      <c r="D203" s="30"/>
      <c r="E203" s="31">
        <f>+F203*0.18/1.18</f>
        <v>1144.0677966101696</v>
      </c>
      <c r="F203" s="38">
        <v>7500</v>
      </c>
    </row>
    <row r="204" spans="2:6" ht="11.25">
      <c r="B204" s="35"/>
      <c r="C204" s="36"/>
      <c r="D204" s="30"/>
      <c r="E204" s="31"/>
      <c r="F204" s="41"/>
    </row>
    <row r="205" spans="2:6" ht="11.25">
      <c r="B205" s="46" t="s">
        <v>321</v>
      </c>
      <c r="C205" s="36"/>
      <c r="D205" s="30"/>
      <c r="E205" s="31"/>
      <c r="F205" s="41"/>
    </row>
    <row r="206" spans="2:6" ht="11.25">
      <c r="B206" s="35" t="s">
        <v>322</v>
      </c>
      <c r="C206" s="36" t="s">
        <v>9</v>
      </c>
      <c r="D206" s="30"/>
      <c r="E206" s="31">
        <f>+F206*0.18/1.18</f>
        <v>20.593220338983052</v>
      </c>
      <c r="F206" s="38">
        <v>135</v>
      </c>
    </row>
    <row r="207" spans="2:6" ht="11.25">
      <c r="B207" s="35" t="s">
        <v>323</v>
      </c>
      <c r="C207" s="36" t="s">
        <v>9</v>
      </c>
      <c r="D207" s="30"/>
      <c r="E207" s="31">
        <f>+F207*0.18/1.18</f>
        <v>3.0508474576271185</v>
      </c>
      <c r="F207" s="38">
        <v>20</v>
      </c>
    </row>
    <row r="208" spans="2:6" ht="11.25">
      <c r="B208" s="35" t="s">
        <v>324</v>
      </c>
      <c r="C208" s="36" t="s">
        <v>19</v>
      </c>
      <c r="D208" s="30"/>
      <c r="E208" s="31">
        <f>+F208*0.18/1.18</f>
        <v>144.91525423728814</v>
      </c>
      <c r="F208" s="38">
        <v>950</v>
      </c>
    </row>
    <row r="209" spans="2:6" ht="11.25">
      <c r="B209" s="35" t="s">
        <v>325</v>
      </c>
      <c r="C209" s="36" t="s">
        <v>3</v>
      </c>
      <c r="D209" s="30"/>
      <c r="E209" s="31">
        <f>+F209*0.18/1.18</f>
        <v>9152.5423728813566</v>
      </c>
      <c r="F209" s="38">
        <v>60000</v>
      </c>
    </row>
    <row r="210" spans="2:6" ht="11.25">
      <c r="B210" s="35"/>
      <c r="C210" s="36"/>
      <c r="D210" s="30"/>
      <c r="E210" s="31"/>
      <c r="F210" s="41"/>
    </row>
    <row r="211" spans="2:6" ht="11.25">
      <c r="B211" s="46" t="s">
        <v>326</v>
      </c>
      <c r="C211" s="36"/>
      <c r="D211" s="30"/>
      <c r="E211" s="31"/>
      <c r="F211" s="41"/>
    </row>
    <row r="212" spans="2:6" ht="11.25">
      <c r="B212" s="35" t="s">
        <v>327</v>
      </c>
      <c r="C212" s="36" t="s">
        <v>19</v>
      </c>
      <c r="D212" s="30"/>
      <c r="E212" s="31">
        <f>+F212*0.18/1.18</f>
        <v>1449.1525423728815</v>
      </c>
      <c r="F212" s="38">
        <v>9500</v>
      </c>
    </row>
    <row r="213" spans="2:6" ht="11.25">
      <c r="B213" s="35"/>
      <c r="C213" s="36"/>
      <c r="D213" s="30"/>
      <c r="E213" s="31"/>
      <c r="F213" s="41"/>
    </row>
    <row r="214" spans="2:6" ht="11.25">
      <c r="B214" s="32" t="s">
        <v>328</v>
      </c>
      <c r="C214" s="36"/>
      <c r="D214" s="30"/>
      <c r="E214" s="31"/>
      <c r="F214" s="41"/>
    </row>
    <row r="215" spans="2:6" ht="11.25">
      <c r="B215" s="35" t="s">
        <v>329</v>
      </c>
      <c r="C215" s="36" t="s">
        <v>3</v>
      </c>
      <c r="D215" s="30"/>
      <c r="E215" s="31">
        <f t="shared" ref="E215:E220" si="17">+F215*0.18/1.18</f>
        <v>533.89830508474574</v>
      </c>
      <c r="F215" s="38">
        <v>3500</v>
      </c>
    </row>
    <row r="216" spans="2:6" ht="11.25">
      <c r="B216" s="35" t="s">
        <v>330</v>
      </c>
      <c r="C216" s="36" t="s">
        <v>3</v>
      </c>
      <c r="D216" s="30"/>
      <c r="E216" s="31">
        <f t="shared" si="17"/>
        <v>610.16949152542372</v>
      </c>
      <c r="F216" s="38">
        <v>4000</v>
      </c>
    </row>
    <row r="217" spans="2:6" ht="11.25">
      <c r="B217" s="35" t="s">
        <v>331</v>
      </c>
      <c r="C217" s="36" t="s">
        <v>3</v>
      </c>
      <c r="D217" s="30"/>
      <c r="E217" s="31">
        <f t="shared" si="17"/>
        <v>686.4406779661017</v>
      </c>
      <c r="F217" s="38">
        <v>4500</v>
      </c>
    </row>
    <row r="218" spans="2:6" ht="11.25">
      <c r="B218" s="35" t="s">
        <v>332</v>
      </c>
      <c r="C218" s="36" t="s">
        <v>290</v>
      </c>
      <c r="D218" s="30"/>
      <c r="E218" s="31">
        <f t="shared" si="17"/>
        <v>1067.7966101694915</v>
      </c>
      <c r="F218" s="38">
        <v>7000</v>
      </c>
    </row>
    <row r="219" spans="2:6" ht="11.25">
      <c r="B219" s="35" t="s">
        <v>333</v>
      </c>
      <c r="C219" s="36" t="s">
        <v>290</v>
      </c>
      <c r="D219" s="30"/>
      <c r="E219" s="31">
        <f t="shared" si="17"/>
        <v>1220.3389830508474</v>
      </c>
      <c r="F219" s="38">
        <v>8000</v>
      </c>
    </row>
    <row r="220" spans="2:6" ht="11.25">
      <c r="B220" s="35" t="s">
        <v>334</v>
      </c>
      <c r="C220" s="36" t="s">
        <v>290</v>
      </c>
      <c r="D220" s="30"/>
      <c r="E220" s="31">
        <f t="shared" si="17"/>
        <v>1220.3389830508474</v>
      </c>
      <c r="F220" s="38">
        <v>8000</v>
      </c>
    </row>
    <row r="221" spans="2:6" ht="11.25">
      <c r="B221" s="45"/>
      <c r="D221" s="30"/>
      <c r="E221" s="31"/>
    </row>
    <row r="222" spans="2:6" ht="11.25">
      <c r="B222" s="32" t="s">
        <v>335</v>
      </c>
      <c r="D222" s="30"/>
      <c r="E222" s="31"/>
    </row>
    <row r="223" spans="2:6" ht="11.25">
      <c r="B223" s="44" t="s">
        <v>336</v>
      </c>
      <c r="C223" s="36" t="s">
        <v>3</v>
      </c>
      <c r="D223" s="30"/>
      <c r="E223" s="31">
        <f t="shared" ref="E223:E238" si="18">+F223*0.18/1.18</f>
        <v>999.45762711864404</v>
      </c>
      <c r="F223" s="38">
        <v>6552</v>
      </c>
    </row>
    <row r="224" spans="2:6" ht="11.25">
      <c r="B224" s="44" t="s">
        <v>337</v>
      </c>
      <c r="C224" s="36" t="s">
        <v>3</v>
      </c>
      <c r="D224" s="30"/>
      <c r="E224" s="31">
        <f t="shared" si="18"/>
        <v>92.593220338983045</v>
      </c>
      <c r="F224" s="38">
        <v>607</v>
      </c>
    </row>
    <row r="225" spans="2:6" ht="11.25">
      <c r="B225" s="44" t="s">
        <v>338</v>
      </c>
      <c r="C225" s="36" t="s">
        <v>3</v>
      </c>
      <c r="D225" s="30"/>
      <c r="E225" s="31">
        <f t="shared" si="18"/>
        <v>107.23728813559322</v>
      </c>
      <c r="F225" s="38">
        <v>703</v>
      </c>
    </row>
    <row r="226" spans="2:6" ht="11.25">
      <c r="B226" s="44" t="s">
        <v>339</v>
      </c>
      <c r="C226" s="36" t="s">
        <v>3</v>
      </c>
      <c r="D226" s="30"/>
      <c r="E226" s="31">
        <f t="shared" si="18"/>
        <v>91.983050847457619</v>
      </c>
      <c r="F226" s="38">
        <v>603</v>
      </c>
    </row>
    <row r="227" spans="2:6" ht="11.25">
      <c r="B227" s="44" t="s">
        <v>340</v>
      </c>
      <c r="C227" s="36" t="s">
        <v>3</v>
      </c>
      <c r="D227" s="30"/>
      <c r="E227" s="31">
        <f t="shared" si="18"/>
        <v>143.84745762711864</v>
      </c>
      <c r="F227" s="38">
        <v>943</v>
      </c>
    </row>
    <row r="228" spans="2:6" ht="11.25">
      <c r="B228" s="44" t="s">
        <v>341</v>
      </c>
      <c r="C228" s="36" t="s">
        <v>3</v>
      </c>
      <c r="D228" s="30"/>
      <c r="E228" s="31">
        <f t="shared" si="18"/>
        <v>96.559322033898312</v>
      </c>
      <c r="F228" s="38">
        <v>633</v>
      </c>
    </row>
    <row r="229" spans="2:6" ht="11.25">
      <c r="B229" s="44" t="s">
        <v>342</v>
      </c>
      <c r="C229" s="36" t="s">
        <v>3</v>
      </c>
      <c r="D229" s="30"/>
      <c r="E229" s="31">
        <f t="shared" si="18"/>
        <v>64.067796610169495</v>
      </c>
      <c r="F229" s="38">
        <v>420</v>
      </c>
    </row>
    <row r="230" spans="2:6" ht="11.25">
      <c r="B230" s="44" t="s">
        <v>343</v>
      </c>
      <c r="C230" s="36" t="s">
        <v>3</v>
      </c>
      <c r="D230" s="30"/>
      <c r="E230" s="31">
        <f t="shared" si="18"/>
        <v>46.525423728813557</v>
      </c>
      <c r="F230" s="38">
        <v>305</v>
      </c>
    </row>
    <row r="231" spans="2:6" ht="11.25">
      <c r="B231" s="35" t="s">
        <v>344</v>
      </c>
      <c r="C231" s="36" t="s">
        <v>3</v>
      </c>
      <c r="D231" s="30"/>
      <c r="E231" s="31">
        <f t="shared" si="18"/>
        <v>246.35593220338984</v>
      </c>
      <c r="F231" s="38">
        <v>1615</v>
      </c>
    </row>
    <row r="232" spans="2:6" ht="11.25">
      <c r="B232" s="35" t="s">
        <v>345</v>
      </c>
      <c r="C232" s="36" t="s">
        <v>3</v>
      </c>
      <c r="D232" s="30"/>
      <c r="E232" s="31">
        <f t="shared" si="18"/>
        <v>19.83050847457627</v>
      </c>
      <c r="F232" s="38">
        <v>130</v>
      </c>
    </row>
    <row r="233" spans="2:6" ht="11.25">
      <c r="B233" s="35" t="s">
        <v>346</v>
      </c>
      <c r="C233" s="36" t="s">
        <v>3</v>
      </c>
      <c r="D233" s="30"/>
      <c r="E233" s="31">
        <f t="shared" si="18"/>
        <v>41.247457627118642</v>
      </c>
      <c r="F233" s="38">
        <v>270.39999999999998</v>
      </c>
    </row>
    <row r="234" spans="2:6" ht="11.25">
      <c r="B234" s="35" t="s">
        <v>347</v>
      </c>
      <c r="C234" s="36" t="s">
        <v>3</v>
      </c>
      <c r="D234" s="30"/>
      <c r="E234" s="31">
        <f t="shared" si="18"/>
        <v>65.745762711864415</v>
      </c>
      <c r="F234" s="38">
        <v>431</v>
      </c>
    </row>
    <row r="235" spans="2:6" ht="11.25">
      <c r="B235" s="35" t="s">
        <v>348</v>
      </c>
      <c r="C235" s="36" t="s">
        <v>3</v>
      </c>
      <c r="D235" s="30"/>
      <c r="E235" s="31">
        <f t="shared" si="18"/>
        <v>88.627118644067806</v>
      </c>
      <c r="F235" s="38">
        <v>581</v>
      </c>
    </row>
    <row r="236" spans="2:6" ht="11.25">
      <c r="B236" s="35" t="s">
        <v>349</v>
      </c>
      <c r="C236" s="36" t="s">
        <v>3</v>
      </c>
      <c r="D236" s="30"/>
      <c r="E236" s="31">
        <f t="shared" si="18"/>
        <v>113.64406779661017</v>
      </c>
      <c r="F236" s="38">
        <v>745</v>
      </c>
    </row>
    <row r="237" spans="2:6" ht="11.25">
      <c r="B237" s="44" t="s">
        <v>350</v>
      </c>
      <c r="C237" s="36" t="s">
        <v>3</v>
      </c>
      <c r="D237" s="30"/>
      <c r="E237" s="31">
        <f t="shared" si="18"/>
        <v>198.30508474576271</v>
      </c>
      <c r="F237" s="38">
        <v>1300</v>
      </c>
    </row>
    <row r="238" spans="2:6" ht="11.25">
      <c r="B238" s="44" t="s">
        <v>351</v>
      </c>
      <c r="C238" s="36" t="s">
        <v>3</v>
      </c>
      <c r="D238" s="30"/>
      <c r="E238" s="31">
        <f t="shared" si="18"/>
        <v>9.1525423728813546</v>
      </c>
      <c r="F238" s="38">
        <v>60</v>
      </c>
    </row>
    <row r="239" spans="2:6" ht="11.25">
      <c r="B239" s="45"/>
      <c r="C239" s="36"/>
      <c r="D239" s="30"/>
      <c r="E239" s="31"/>
      <c r="F239" s="41"/>
    </row>
    <row r="240" spans="2:6" ht="11.25">
      <c r="B240" s="32" t="s">
        <v>352</v>
      </c>
      <c r="D240" s="30"/>
      <c r="E240" s="31"/>
    </row>
    <row r="241" spans="2:6" ht="11.25">
      <c r="B241" s="44" t="s">
        <v>353</v>
      </c>
      <c r="C241" s="36" t="s">
        <v>9</v>
      </c>
      <c r="D241" s="37">
        <f>+F241-E241</f>
        <v>483.05084745762713</v>
      </c>
      <c r="E241" s="31">
        <f>+F241*0.18/1.18</f>
        <v>86.949152542372886</v>
      </c>
      <c r="F241" s="38">
        <v>570</v>
      </c>
    </row>
    <row r="242" spans="2:6" ht="11.25">
      <c r="B242" s="44" t="s">
        <v>354</v>
      </c>
      <c r="C242" s="36" t="s">
        <v>9</v>
      </c>
      <c r="D242" s="30"/>
      <c r="E242" s="31">
        <f>+F242*0.18/1.18</f>
        <v>112.43898305084745</v>
      </c>
      <c r="F242" s="38">
        <v>737.1</v>
      </c>
    </row>
    <row r="243" spans="2:6" ht="11.25">
      <c r="B243" s="44" t="s">
        <v>355</v>
      </c>
      <c r="C243" s="36" t="s">
        <v>9</v>
      </c>
      <c r="D243" s="30"/>
      <c r="E243" s="31">
        <f>+F243*0.18/1.18</f>
        <v>80.084745762711876</v>
      </c>
      <c r="F243" s="38">
        <v>525</v>
      </c>
    </row>
    <row r="244" spans="2:6" ht="11.25">
      <c r="B244" s="45"/>
      <c r="C244" s="36"/>
      <c r="D244" s="30"/>
      <c r="E244" s="31"/>
      <c r="F244" s="41"/>
    </row>
    <row r="245" spans="2:6" ht="11.25">
      <c r="B245" s="32" t="s">
        <v>356</v>
      </c>
      <c r="C245" s="36"/>
      <c r="D245" s="30"/>
      <c r="E245" s="31"/>
      <c r="F245" s="41"/>
    </row>
    <row r="246" spans="2:6" ht="11.25">
      <c r="B246" s="35" t="s">
        <v>357</v>
      </c>
      <c r="C246" s="36" t="s">
        <v>291</v>
      </c>
      <c r="D246" s="30"/>
      <c r="E246" s="31">
        <f t="shared" ref="E246:E252" si="19">+F246*0.18/1.18</f>
        <v>23.64406779661017</v>
      </c>
      <c r="F246" s="38">
        <v>155</v>
      </c>
    </row>
    <row r="247" spans="2:6" ht="11.25">
      <c r="B247" s="35" t="s">
        <v>358</v>
      </c>
      <c r="C247" s="36" t="s">
        <v>291</v>
      </c>
      <c r="D247" s="30"/>
      <c r="E247" s="31">
        <f t="shared" si="19"/>
        <v>28.983050847457626</v>
      </c>
      <c r="F247" s="38">
        <v>190</v>
      </c>
    </row>
    <row r="248" spans="2:6" ht="11.25">
      <c r="B248" s="35" t="s">
        <v>359</v>
      </c>
      <c r="C248" s="36" t="s">
        <v>291</v>
      </c>
      <c r="D248" s="30"/>
      <c r="E248" s="31">
        <f t="shared" si="19"/>
        <v>11.440677966101696</v>
      </c>
      <c r="F248" s="38">
        <v>75</v>
      </c>
    </row>
    <row r="249" spans="2:6" ht="11.25">
      <c r="B249" s="35" t="s">
        <v>360</v>
      </c>
      <c r="C249" s="36" t="s">
        <v>291</v>
      </c>
      <c r="D249" s="30"/>
      <c r="E249" s="31">
        <f t="shared" si="19"/>
        <v>3.8135593220338984</v>
      </c>
      <c r="F249" s="38">
        <v>25</v>
      </c>
    </row>
    <row r="250" spans="2:6" ht="11.25">
      <c r="B250" s="35" t="s">
        <v>361</v>
      </c>
      <c r="C250" s="36" t="s">
        <v>291</v>
      </c>
      <c r="D250" s="30"/>
      <c r="E250" s="31">
        <f t="shared" si="19"/>
        <v>27.892372881355932</v>
      </c>
      <c r="F250" s="38">
        <v>182.85</v>
      </c>
    </row>
    <row r="251" spans="2:6" ht="11.25">
      <c r="B251" s="35" t="s">
        <v>362</v>
      </c>
      <c r="C251" s="36" t="s">
        <v>291</v>
      </c>
      <c r="D251" s="30"/>
      <c r="E251" s="31">
        <f t="shared" si="19"/>
        <v>11.440677966101696</v>
      </c>
      <c r="F251" s="38">
        <v>75</v>
      </c>
    </row>
    <row r="252" spans="2:6" ht="11.25">
      <c r="B252" s="35" t="s">
        <v>363</v>
      </c>
      <c r="C252" s="36" t="s">
        <v>291</v>
      </c>
      <c r="D252" s="30"/>
      <c r="E252" s="31">
        <f t="shared" si="19"/>
        <v>19.83050847457627</v>
      </c>
      <c r="F252" s="38">
        <v>130</v>
      </c>
    </row>
    <row r="253" spans="2:6" ht="11.25">
      <c r="B253" s="45"/>
      <c r="D253" s="30"/>
      <c r="E253" s="31"/>
    </row>
    <row r="254" spans="2:6" ht="11.25">
      <c r="B254" s="32" t="s">
        <v>364</v>
      </c>
      <c r="C254" s="36"/>
      <c r="D254" s="30"/>
      <c r="E254" s="31"/>
      <c r="F254" s="41"/>
    </row>
    <row r="255" spans="2:6" ht="11.25">
      <c r="B255" s="35" t="s">
        <v>357</v>
      </c>
      <c r="C255" s="36" t="s">
        <v>3</v>
      </c>
      <c r="D255" s="30"/>
      <c r="E255" s="31">
        <f t="shared" ref="E255:E261" si="20">+F255*0.18/1.18</f>
        <v>529.32203389830511</v>
      </c>
      <c r="F255" s="38">
        <v>3470</v>
      </c>
    </row>
    <row r="256" spans="2:6" ht="11.25">
      <c r="B256" s="35" t="s">
        <v>365</v>
      </c>
      <c r="C256" s="36" t="s">
        <v>3</v>
      </c>
      <c r="D256" s="30"/>
      <c r="E256" s="31">
        <f t="shared" si="20"/>
        <v>550.67796610169489</v>
      </c>
      <c r="F256" s="38">
        <v>3610</v>
      </c>
    </row>
    <row r="257" spans="2:6" ht="11.25">
      <c r="B257" s="35" t="s">
        <v>366</v>
      </c>
      <c r="C257" s="36" t="s">
        <v>3</v>
      </c>
      <c r="D257" s="30"/>
      <c r="E257" s="31">
        <f t="shared" si="20"/>
        <v>175.42372881355934</v>
      </c>
      <c r="F257" s="38">
        <v>1150</v>
      </c>
    </row>
    <row r="258" spans="2:6" ht="11.25">
      <c r="B258" s="35" t="s">
        <v>360</v>
      </c>
      <c r="C258" s="36" t="s">
        <v>3</v>
      </c>
      <c r="D258" s="30"/>
      <c r="E258" s="31">
        <f t="shared" si="20"/>
        <v>52.322033898305087</v>
      </c>
      <c r="F258" s="38">
        <v>343</v>
      </c>
    </row>
    <row r="259" spans="2:6" ht="11.25">
      <c r="B259" s="35" t="s">
        <v>367</v>
      </c>
      <c r="C259" s="36" t="s">
        <v>3</v>
      </c>
      <c r="D259" s="30"/>
      <c r="E259" s="31">
        <f t="shared" si="20"/>
        <v>511.0169491525424</v>
      </c>
      <c r="F259" s="38">
        <v>3350</v>
      </c>
    </row>
    <row r="260" spans="2:6" ht="11.25">
      <c r="B260" s="35" t="s">
        <v>362</v>
      </c>
      <c r="C260" s="36" t="s">
        <v>3</v>
      </c>
      <c r="D260" s="30"/>
      <c r="E260" s="31">
        <f t="shared" si="20"/>
        <v>225</v>
      </c>
      <c r="F260" s="38">
        <v>1475</v>
      </c>
    </row>
    <row r="261" spans="2:6" ht="11.25">
      <c r="B261" s="35" t="s">
        <v>363</v>
      </c>
      <c r="C261" s="36" t="s">
        <v>3</v>
      </c>
      <c r="D261" s="30"/>
      <c r="E261" s="31">
        <f t="shared" si="20"/>
        <v>276.21610169491527</v>
      </c>
      <c r="F261" s="38">
        <v>1810.75</v>
      </c>
    </row>
    <row r="262" spans="2:6" ht="11.25">
      <c r="B262" s="45"/>
      <c r="D262" s="30"/>
      <c r="E262" s="31"/>
    </row>
    <row r="263" spans="2:6" ht="11.25">
      <c r="B263" s="46" t="s">
        <v>368</v>
      </c>
      <c r="C263" s="36"/>
      <c r="D263" s="30"/>
      <c r="E263" s="31"/>
    </row>
    <row r="264" spans="2:6" ht="11.25">
      <c r="B264" s="35" t="s">
        <v>369</v>
      </c>
      <c r="C264" s="36" t="s">
        <v>3</v>
      </c>
      <c r="D264" s="30"/>
      <c r="E264" s="31">
        <f t="shared" ref="E264:E278" si="21">+F264*0.18/1.18</f>
        <v>56.440677966101696</v>
      </c>
      <c r="F264" s="38">
        <v>370</v>
      </c>
    </row>
    <row r="265" spans="2:6" ht="11.25">
      <c r="B265" s="35" t="s">
        <v>370</v>
      </c>
      <c r="C265" s="36" t="s">
        <v>3</v>
      </c>
      <c r="D265" s="30"/>
      <c r="E265" s="31">
        <f t="shared" si="21"/>
        <v>173.13406779661017</v>
      </c>
      <c r="F265" s="38">
        <v>1134.99</v>
      </c>
    </row>
    <row r="266" spans="2:6" ht="11.25">
      <c r="B266" s="35" t="s">
        <v>371</v>
      </c>
      <c r="C266" s="36" t="s">
        <v>3</v>
      </c>
      <c r="D266" s="30"/>
      <c r="E266" s="31">
        <f t="shared" si="21"/>
        <v>20.135593220338983</v>
      </c>
      <c r="F266" s="38">
        <v>132</v>
      </c>
    </row>
    <row r="267" spans="2:6" ht="11.25">
      <c r="B267" s="35" t="s">
        <v>372</v>
      </c>
      <c r="C267" s="36" t="s">
        <v>3</v>
      </c>
      <c r="D267" s="30"/>
      <c r="E267" s="31">
        <f t="shared" si="21"/>
        <v>28.220338983050848</v>
      </c>
      <c r="F267" s="38">
        <v>185</v>
      </c>
    </row>
    <row r="268" spans="2:6" ht="11.25">
      <c r="B268" s="35" t="s">
        <v>373</v>
      </c>
      <c r="C268" s="36" t="s">
        <v>3</v>
      </c>
      <c r="D268" s="30"/>
      <c r="E268" s="31">
        <f t="shared" si="21"/>
        <v>56.440677966101696</v>
      </c>
      <c r="F268" s="38">
        <v>370</v>
      </c>
    </row>
    <row r="269" spans="2:6" ht="11.25">
      <c r="B269" s="35" t="s">
        <v>374</v>
      </c>
      <c r="C269" s="36" t="s">
        <v>3</v>
      </c>
      <c r="D269" s="30"/>
      <c r="E269" s="31">
        <f t="shared" si="21"/>
        <v>116.4157627118644</v>
      </c>
      <c r="F269" s="38">
        <v>763.17</v>
      </c>
    </row>
    <row r="270" spans="2:6" ht="11.25">
      <c r="B270" s="35" t="s">
        <v>375</v>
      </c>
      <c r="C270" s="36" t="s">
        <v>3</v>
      </c>
      <c r="D270" s="30"/>
      <c r="E270" s="31">
        <f t="shared" si="21"/>
        <v>248.39694915254239</v>
      </c>
      <c r="F270" s="38">
        <v>1628.38</v>
      </c>
    </row>
    <row r="271" spans="2:6" ht="11.25">
      <c r="B271" s="35" t="s">
        <v>376</v>
      </c>
      <c r="C271" s="36" t="s">
        <v>3</v>
      </c>
      <c r="D271" s="30"/>
      <c r="E271" s="31">
        <f t="shared" si="21"/>
        <v>94.176610169491525</v>
      </c>
      <c r="F271" s="38">
        <v>617.38</v>
      </c>
    </row>
    <row r="272" spans="2:6" ht="11.25">
      <c r="B272" s="35" t="s">
        <v>377</v>
      </c>
      <c r="C272" s="36" t="s">
        <v>3</v>
      </c>
      <c r="D272" s="30"/>
      <c r="E272" s="31">
        <f t="shared" si="21"/>
        <v>10.893050847457628</v>
      </c>
      <c r="F272" s="38">
        <v>71.41</v>
      </c>
    </row>
    <row r="273" spans="2:6" ht="11.25">
      <c r="B273" s="35" t="s">
        <v>378</v>
      </c>
      <c r="C273" s="36" t="s">
        <v>3</v>
      </c>
      <c r="D273" s="30"/>
      <c r="E273" s="31">
        <f t="shared" si="21"/>
        <v>320.40000000000003</v>
      </c>
      <c r="F273" s="38">
        <v>2100.4</v>
      </c>
    </row>
    <row r="274" spans="2:6" ht="11.25">
      <c r="B274" s="35" t="s">
        <v>379</v>
      </c>
      <c r="C274" s="36" t="s">
        <v>3</v>
      </c>
      <c r="D274" s="30"/>
      <c r="E274" s="31">
        <f t="shared" si="21"/>
        <v>30.970677966101697</v>
      </c>
      <c r="F274" s="38">
        <v>203.03</v>
      </c>
    </row>
    <row r="275" spans="2:6" ht="11.25">
      <c r="B275" s="35" t="s">
        <v>380</v>
      </c>
      <c r="C275" s="36" t="s">
        <v>3</v>
      </c>
      <c r="D275" s="30"/>
      <c r="E275" s="31">
        <f t="shared" si="21"/>
        <v>963.8359322033898</v>
      </c>
      <c r="F275" s="38">
        <v>6318.48</v>
      </c>
    </row>
    <row r="276" spans="2:6" ht="11.25">
      <c r="B276" s="35" t="s">
        <v>381</v>
      </c>
      <c r="C276" s="36" t="s">
        <v>3</v>
      </c>
      <c r="D276" s="30"/>
      <c r="E276" s="31">
        <f t="shared" si="21"/>
        <v>476.55915254237289</v>
      </c>
      <c r="F276" s="38">
        <v>3124.11</v>
      </c>
    </row>
    <row r="277" spans="2:6" ht="11.25">
      <c r="B277" s="35" t="s">
        <v>382</v>
      </c>
      <c r="C277" s="36" t="s">
        <v>3</v>
      </c>
      <c r="D277" s="30"/>
      <c r="E277" s="31">
        <f t="shared" si="21"/>
        <v>762.51355932203387</v>
      </c>
      <c r="F277" s="38">
        <v>4998.7</v>
      </c>
    </row>
    <row r="278" spans="2:6" ht="11.25">
      <c r="B278" s="35" t="s">
        <v>383</v>
      </c>
      <c r="C278" s="36" t="s">
        <v>3</v>
      </c>
      <c r="D278" s="30"/>
      <c r="E278" s="31">
        <f t="shared" si="21"/>
        <v>697.69372881355946</v>
      </c>
      <c r="F278" s="38">
        <v>4573.7700000000004</v>
      </c>
    </row>
    <row r="279" spans="2:6" ht="11.25">
      <c r="B279" s="35"/>
      <c r="C279" s="36"/>
      <c r="D279" s="30"/>
      <c r="E279" s="31"/>
    </row>
    <row r="280" spans="2:6" ht="11.25">
      <c r="B280" s="32" t="s">
        <v>384</v>
      </c>
      <c r="C280" s="36"/>
      <c r="D280" s="30"/>
      <c r="E280" s="31"/>
    </row>
    <row r="281" spans="2:6" ht="11.25">
      <c r="B281" s="35" t="s">
        <v>385</v>
      </c>
      <c r="C281" s="36" t="s">
        <v>153</v>
      </c>
      <c r="D281" s="30"/>
      <c r="E281" s="31">
        <f t="shared" ref="E281:E342" si="22">+F281*0.18/1.18</f>
        <v>215.08474576271186</v>
      </c>
      <c r="F281" s="38">
        <v>1410</v>
      </c>
    </row>
    <row r="282" spans="2:6" ht="11.25">
      <c r="B282" s="35" t="s">
        <v>386</v>
      </c>
      <c r="C282" s="36" t="s">
        <v>153</v>
      </c>
      <c r="D282" s="30"/>
      <c r="E282" s="31">
        <f t="shared" si="22"/>
        <v>207.45762711864407</v>
      </c>
      <c r="F282" s="38">
        <v>1360</v>
      </c>
    </row>
    <row r="283" spans="2:6" ht="11.25">
      <c r="B283" s="35" t="s">
        <v>387</v>
      </c>
      <c r="C283" s="36" t="s">
        <v>153</v>
      </c>
      <c r="D283" s="30"/>
      <c r="E283" s="31">
        <f t="shared" si="22"/>
        <v>207.45762711864407</v>
      </c>
      <c r="F283" s="38">
        <v>1360</v>
      </c>
    </row>
    <row r="284" spans="2:6" ht="11.25">
      <c r="B284" s="35" t="s">
        <v>388</v>
      </c>
      <c r="C284" s="36" t="s">
        <v>153</v>
      </c>
      <c r="D284" s="37">
        <f>+F284-E284</f>
        <v>766.94915254237287</v>
      </c>
      <c r="E284" s="31">
        <f t="shared" si="22"/>
        <v>138.05084745762713</v>
      </c>
      <c r="F284" s="38">
        <v>905</v>
      </c>
    </row>
    <row r="285" spans="2:6" ht="11.25">
      <c r="B285" s="35" t="s">
        <v>389</v>
      </c>
      <c r="C285" s="36" t="s">
        <v>153</v>
      </c>
      <c r="D285" s="30"/>
      <c r="E285" s="31">
        <f t="shared" si="22"/>
        <v>234.45762711864404</v>
      </c>
      <c r="F285" s="38">
        <v>1537</v>
      </c>
    </row>
    <row r="286" spans="2:6" ht="11.25">
      <c r="B286" s="35" t="s">
        <v>390</v>
      </c>
      <c r="C286" s="36" t="s">
        <v>153</v>
      </c>
      <c r="D286" s="30"/>
      <c r="E286" s="31">
        <f t="shared" si="22"/>
        <v>246.20338983050848</v>
      </c>
      <c r="F286" s="38">
        <v>1614</v>
      </c>
    </row>
    <row r="287" spans="2:6" ht="11.25">
      <c r="B287" s="35" t="s">
        <v>391</v>
      </c>
      <c r="C287" s="36" t="s">
        <v>153</v>
      </c>
      <c r="D287" s="37">
        <f>+F287-E287</f>
        <v>1302.542372881356</v>
      </c>
      <c r="E287" s="31">
        <f t="shared" si="22"/>
        <v>234.45762711864404</v>
      </c>
      <c r="F287" s="38">
        <v>1537</v>
      </c>
    </row>
    <row r="288" spans="2:6" ht="11.25">
      <c r="B288" s="35" t="s">
        <v>392</v>
      </c>
      <c r="C288" s="36" t="s">
        <v>153</v>
      </c>
      <c r="D288" s="30"/>
      <c r="E288" s="31">
        <f t="shared" si="22"/>
        <v>57.203389830508478</v>
      </c>
      <c r="F288" s="38">
        <v>375</v>
      </c>
    </row>
    <row r="289" spans="2:6" ht="11.25">
      <c r="B289" s="35" t="s">
        <v>393</v>
      </c>
      <c r="C289" s="36" t="s">
        <v>153</v>
      </c>
      <c r="D289" s="30"/>
      <c r="E289" s="31">
        <f t="shared" si="22"/>
        <v>113.79661016949153</v>
      </c>
      <c r="F289" s="38">
        <v>746</v>
      </c>
    </row>
    <row r="290" spans="2:6" ht="11.25">
      <c r="B290" s="35" t="s">
        <v>394</v>
      </c>
      <c r="C290" s="36" t="s">
        <v>153</v>
      </c>
      <c r="D290" s="30"/>
      <c r="E290" s="31">
        <f t="shared" si="22"/>
        <v>260.84745762711867</v>
      </c>
      <c r="F290" s="38">
        <v>1710</v>
      </c>
    </row>
    <row r="291" spans="2:6" ht="11.25">
      <c r="B291" s="35" t="s">
        <v>395</v>
      </c>
      <c r="C291" s="36" t="s">
        <v>153</v>
      </c>
      <c r="D291" s="30"/>
      <c r="E291" s="31">
        <f t="shared" si="22"/>
        <v>246.20338983050848</v>
      </c>
      <c r="F291" s="38">
        <v>1614</v>
      </c>
    </row>
    <row r="292" spans="2:6" ht="11.25">
      <c r="B292" s="35" t="s">
        <v>396</v>
      </c>
      <c r="C292" s="36" t="s">
        <v>153</v>
      </c>
      <c r="D292" s="30"/>
      <c r="E292" s="31">
        <f t="shared" si="22"/>
        <v>246.20338983050848</v>
      </c>
      <c r="F292" s="38">
        <v>1614</v>
      </c>
    </row>
    <row r="293" spans="2:6" ht="11.25">
      <c r="B293" s="35" t="s">
        <v>397</v>
      </c>
      <c r="C293" s="36" t="s">
        <v>153</v>
      </c>
      <c r="D293" s="30"/>
      <c r="E293" s="31">
        <f t="shared" si="22"/>
        <v>218.13559322033896</v>
      </c>
      <c r="F293" s="38">
        <v>1430</v>
      </c>
    </row>
    <row r="294" spans="2:6" ht="11.25">
      <c r="B294" s="35" t="s">
        <v>398</v>
      </c>
      <c r="C294" s="36" t="s">
        <v>153</v>
      </c>
      <c r="D294" s="30"/>
      <c r="E294" s="31">
        <f t="shared" si="22"/>
        <v>248.64406779661016</v>
      </c>
      <c r="F294" s="38">
        <v>1630</v>
      </c>
    </row>
    <row r="295" spans="2:6" ht="11.25">
      <c r="B295" s="35" t="s">
        <v>399</v>
      </c>
      <c r="C295" s="36" t="s">
        <v>153</v>
      </c>
      <c r="D295" s="30"/>
      <c r="E295" s="31">
        <f t="shared" si="22"/>
        <v>248.64406779661016</v>
      </c>
      <c r="F295" s="38">
        <v>1630</v>
      </c>
    </row>
    <row r="296" spans="2:6" ht="11.25">
      <c r="B296" s="35" t="s">
        <v>400</v>
      </c>
      <c r="C296" s="36" t="s">
        <v>153</v>
      </c>
      <c r="D296" s="30"/>
      <c r="E296" s="31">
        <f t="shared" si="22"/>
        <v>200.59322033898306</v>
      </c>
      <c r="F296" s="38">
        <v>1315</v>
      </c>
    </row>
    <row r="297" spans="2:6" ht="11.25">
      <c r="B297" s="35" t="s">
        <v>401</v>
      </c>
      <c r="C297" s="36" t="s">
        <v>153</v>
      </c>
      <c r="D297" s="30"/>
      <c r="E297" s="31">
        <f t="shared" si="22"/>
        <v>260.84745762711867</v>
      </c>
      <c r="F297" s="38">
        <v>1710</v>
      </c>
    </row>
    <row r="298" spans="2:6" ht="11.25">
      <c r="B298" s="35" t="s">
        <v>402</v>
      </c>
      <c r="C298" s="36" t="s">
        <v>153</v>
      </c>
      <c r="D298" s="30"/>
      <c r="E298" s="31">
        <f t="shared" si="22"/>
        <v>332.38983050847457</v>
      </c>
      <c r="F298" s="38">
        <v>2179</v>
      </c>
    </row>
    <row r="299" spans="2:6" ht="11.25">
      <c r="B299" s="35" t="s">
        <v>403</v>
      </c>
      <c r="C299" s="36" t="s">
        <v>153</v>
      </c>
      <c r="D299" s="30"/>
      <c r="E299" s="31">
        <f t="shared" si="22"/>
        <v>234.76271186440678</v>
      </c>
      <c r="F299" s="38">
        <v>1539</v>
      </c>
    </row>
    <row r="300" spans="2:6" ht="11.25">
      <c r="B300" s="35" t="s">
        <v>404</v>
      </c>
      <c r="C300" s="36" t="s">
        <v>153</v>
      </c>
      <c r="D300" s="30"/>
      <c r="E300" s="31">
        <f t="shared" si="22"/>
        <v>155.59322033898306</v>
      </c>
      <c r="F300" s="38">
        <v>1020</v>
      </c>
    </row>
    <row r="301" spans="2:6" ht="11.25">
      <c r="B301" s="35" t="s">
        <v>405</v>
      </c>
      <c r="C301" s="36" t="s">
        <v>153</v>
      </c>
      <c r="D301" s="37">
        <f>+F301-E301</f>
        <v>2862.7118644067796</v>
      </c>
      <c r="E301" s="31">
        <f t="shared" si="22"/>
        <v>515.28813559322032</v>
      </c>
      <c r="F301" s="38">
        <v>3378</v>
      </c>
    </row>
    <row r="302" spans="2:6" ht="11.25">
      <c r="B302" s="35" t="s">
        <v>406</v>
      </c>
      <c r="C302" s="36" t="s">
        <v>153</v>
      </c>
      <c r="D302" s="30"/>
      <c r="E302" s="31">
        <f t="shared" si="22"/>
        <v>317.41016949152549</v>
      </c>
      <c r="F302" s="38">
        <v>2080.8000000000002</v>
      </c>
    </row>
    <row r="303" spans="2:6" ht="11.25">
      <c r="B303" s="35" t="s">
        <v>407</v>
      </c>
      <c r="C303" s="36" t="s">
        <v>153</v>
      </c>
      <c r="D303" s="30"/>
      <c r="E303" s="31">
        <f t="shared" si="22"/>
        <v>123.5593220338983</v>
      </c>
      <c r="F303" s="38">
        <v>810</v>
      </c>
    </row>
    <row r="304" spans="2:6" ht="11.25">
      <c r="B304" s="35" t="s">
        <v>408</v>
      </c>
      <c r="C304" s="36" t="s">
        <v>153</v>
      </c>
      <c r="D304" s="30"/>
      <c r="E304" s="31">
        <f t="shared" si="22"/>
        <v>276.10169491525426</v>
      </c>
      <c r="F304" s="38">
        <v>1810</v>
      </c>
    </row>
    <row r="305" spans="2:6" ht="11.25">
      <c r="B305" s="35" t="s">
        <v>409</v>
      </c>
      <c r="C305" s="36" t="s">
        <v>153</v>
      </c>
      <c r="D305" s="30"/>
      <c r="E305" s="31">
        <f t="shared" si="22"/>
        <v>143.38983050847457</v>
      </c>
      <c r="F305" s="38">
        <v>940</v>
      </c>
    </row>
    <row r="306" spans="2:6" ht="11.25">
      <c r="B306" s="35" t="s">
        <v>410</v>
      </c>
      <c r="C306" s="36" t="s">
        <v>153</v>
      </c>
      <c r="D306" s="30"/>
      <c r="E306" s="31">
        <f t="shared" si="22"/>
        <v>154.83050847457628</v>
      </c>
      <c r="F306" s="38">
        <v>1015</v>
      </c>
    </row>
    <row r="307" spans="2:6" ht="11.25">
      <c r="B307" s="35" t="s">
        <v>411</v>
      </c>
      <c r="C307" s="36" t="s">
        <v>153</v>
      </c>
      <c r="D307" s="30"/>
      <c r="E307" s="31">
        <f t="shared" si="22"/>
        <v>199.06779661016949</v>
      </c>
      <c r="F307" s="38">
        <v>1305</v>
      </c>
    </row>
    <row r="308" spans="2:6" ht="11.25">
      <c r="B308" s="35" t="s">
        <v>412</v>
      </c>
      <c r="C308" s="36" t="s">
        <v>153</v>
      </c>
      <c r="D308" s="30"/>
      <c r="E308" s="31">
        <f t="shared" si="22"/>
        <v>343.22033898305085</v>
      </c>
      <c r="F308" s="38">
        <v>2250</v>
      </c>
    </row>
    <row r="309" spans="2:6" ht="11.25">
      <c r="B309" s="35" t="s">
        <v>413</v>
      </c>
      <c r="C309" s="36" t="s">
        <v>153</v>
      </c>
      <c r="D309" s="30"/>
      <c r="E309" s="31">
        <f t="shared" si="22"/>
        <v>260.84745762711867</v>
      </c>
      <c r="F309" s="38">
        <v>1710</v>
      </c>
    </row>
    <row r="310" spans="2:6" ht="11.25">
      <c r="B310" s="35" t="s">
        <v>414</v>
      </c>
      <c r="C310" s="36" t="s">
        <v>153</v>
      </c>
      <c r="D310" s="37">
        <f>+F310-E310</f>
        <v>338.9830508474576</v>
      </c>
      <c r="E310" s="31">
        <f t="shared" si="22"/>
        <v>61.016949152542374</v>
      </c>
      <c r="F310" s="38">
        <v>400</v>
      </c>
    </row>
    <row r="311" spans="2:6" ht="11.25">
      <c r="B311" s="35" t="s">
        <v>415</v>
      </c>
      <c r="C311" s="36" t="s">
        <v>153</v>
      </c>
      <c r="D311" s="30"/>
      <c r="E311" s="31">
        <f t="shared" si="22"/>
        <v>57.203389830508478</v>
      </c>
      <c r="F311" s="38">
        <v>375</v>
      </c>
    </row>
    <row r="312" spans="2:6" ht="11.25">
      <c r="B312" s="35" t="s">
        <v>416</v>
      </c>
      <c r="C312" s="36"/>
      <c r="D312" s="30"/>
      <c r="E312" s="31">
        <f t="shared" si="22"/>
        <v>123.5593220338983</v>
      </c>
      <c r="F312" s="38">
        <v>810</v>
      </c>
    </row>
    <row r="313" spans="2:6" ht="11.25">
      <c r="B313" s="35" t="s">
        <v>417</v>
      </c>
      <c r="C313" s="36" t="s">
        <v>153</v>
      </c>
      <c r="D313" s="30"/>
      <c r="E313" s="31">
        <f t="shared" si="22"/>
        <v>151.77966101694915</v>
      </c>
      <c r="F313" s="38">
        <v>995</v>
      </c>
    </row>
    <row r="314" spans="2:6" ht="11.25">
      <c r="B314" s="35" t="s">
        <v>418</v>
      </c>
      <c r="C314" s="36" t="s">
        <v>3</v>
      </c>
      <c r="D314" s="30"/>
      <c r="E314" s="31">
        <f t="shared" si="22"/>
        <v>3.4322033898305087</v>
      </c>
      <c r="F314" s="38">
        <v>22.5</v>
      </c>
    </row>
    <row r="315" spans="2:6" ht="11.25">
      <c r="B315" s="35" t="s">
        <v>419</v>
      </c>
      <c r="C315" s="36" t="s">
        <v>3</v>
      </c>
      <c r="D315" s="30"/>
      <c r="E315" s="31">
        <f t="shared" si="22"/>
        <v>5.9491525423728815</v>
      </c>
      <c r="F315" s="38">
        <v>39</v>
      </c>
    </row>
    <row r="316" spans="2:6" ht="11.25">
      <c r="B316" s="35" t="s">
        <v>420</v>
      </c>
      <c r="C316" s="36" t="s">
        <v>3</v>
      </c>
      <c r="D316" s="30"/>
      <c r="E316" s="31">
        <f t="shared" si="22"/>
        <v>13.881355932203389</v>
      </c>
      <c r="F316" s="38">
        <v>91</v>
      </c>
    </row>
    <row r="317" spans="2:6" ht="11.25">
      <c r="B317" s="35" t="s">
        <v>421</v>
      </c>
      <c r="C317" s="36" t="s">
        <v>3</v>
      </c>
      <c r="D317" s="30"/>
      <c r="E317" s="31">
        <f t="shared" si="22"/>
        <v>18.305084745762709</v>
      </c>
      <c r="F317" s="38">
        <v>120</v>
      </c>
    </row>
    <row r="318" spans="2:6" ht="11.25">
      <c r="B318" s="35" t="s">
        <v>422</v>
      </c>
      <c r="C318" s="36" t="s">
        <v>3</v>
      </c>
      <c r="D318" s="30"/>
      <c r="E318" s="31">
        <f t="shared" si="22"/>
        <v>24.406779661016948</v>
      </c>
      <c r="F318" s="38">
        <v>160</v>
      </c>
    </row>
    <row r="319" spans="2:6" ht="11.25">
      <c r="B319" s="35" t="s">
        <v>423</v>
      </c>
      <c r="C319" s="36" t="s">
        <v>3</v>
      </c>
      <c r="D319" s="30"/>
      <c r="E319" s="31">
        <f t="shared" si="22"/>
        <v>28.220338983050848</v>
      </c>
      <c r="F319" s="38">
        <v>185</v>
      </c>
    </row>
    <row r="320" spans="2:6" ht="11.25">
      <c r="B320" s="35" t="s">
        <v>424</v>
      </c>
      <c r="C320" s="36" t="s">
        <v>3</v>
      </c>
      <c r="D320" s="30"/>
      <c r="E320" s="31">
        <f t="shared" si="22"/>
        <v>38.89677966101695</v>
      </c>
      <c r="F320" s="38">
        <v>254.99</v>
      </c>
    </row>
    <row r="321" spans="2:6" ht="11.25">
      <c r="B321" s="35" t="s">
        <v>425</v>
      </c>
      <c r="C321" s="36" t="s">
        <v>3</v>
      </c>
      <c r="D321" s="30"/>
      <c r="E321" s="31">
        <f t="shared" si="22"/>
        <v>42.101694915254242</v>
      </c>
      <c r="F321" s="38">
        <v>276</v>
      </c>
    </row>
    <row r="322" spans="2:6" ht="11.25">
      <c r="B322" s="35" t="s">
        <v>426</v>
      </c>
      <c r="C322" s="36" t="s">
        <v>3</v>
      </c>
      <c r="D322" s="30"/>
      <c r="E322" s="31">
        <f t="shared" si="22"/>
        <v>17.057288135593218</v>
      </c>
      <c r="F322" s="38">
        <v>111.82</v>
      </c>
    </row>
    <row r="323" spans="2:6" ht="11.25">
      <c r="B323" s="35" t="s">
        <v>427</v>
      </c>
      <c r="C323" s="36" t="s">
        <v>3</v>
      </c>
      <c r="D323" s="30"/>
      <c r="E323" s="31">
        <f t="shared" si="22"/>
        <v>26.694915254237291</v>
      </c>
      <c r="F323" s="38">
        <v>175</v>
      </c>
    </row>
    <row r="324" spans="2:6" ht="11.25">
      <c r="B324" s="35" t="s">
        <v>428</v>
      </c>
      <c r="C324" s="36" t="s">
        <v>3</v>
      </c>
      <c r="D324" s="30"/>
      <c r="E324" s="31">
        <f t="shared" si="22"/>
        <v>37.067796610169488</v>
      </c>
      <c r="F324" s="38">
        <v>243</v>
      </c>
    </row>
    <row r="325" spans="2:6" ht="11.25">
      <c r="B325" s="35" t="s">
        <v>429</v>
      </c>
      <c r="C325" s="36" t="s">
        <v>3</v>
      </c>
      <c r="D325" s="30"/>
      <c r="E325" s="31">
        <f t="shared" si="22"/>
        <v>34.322033898305087</v>
      </c>
      <c r="F325" s="38">
        <v>225</v>
      </c>
    </row>
    <row r="326" spans="2:6" ht="11.25">
      <c r="B326" s="47" t="s">
        <v>430</v>
      </c>
      <c r="C326" s="36" t="s">
        <v>3</v>
      </c>
      <c r="D326" s="30"/>
      <c r="E326" s="31">
        <f t="shared" si="22"/>
        <v>158.3115254237288</v>
      </c>
      <c r="F326" s="38">
        <v>1037.82</v>
      </c>
    </row>
    <row r="327" spans="2:6" ht="11.25">
      <c r="B327" s="47" t="s">
        <v>431</v>
      </c>
      <c r="C327" s="36" t="s">
        <v>3</v>
      </c>
      <c r="D327" s="30"/>
      <c r="E327" s="31">
        <f t="shared" si="22"/>
        <v>135.64983050847459</v>
      </c>
      <c r="F327" s="38">
        <v>889.26</v>
      </c>
    </row>
    <row r="328" spans="2:6" ht="11.25">
      <c r="B328" s="35" t="s">
        <v>432</v>
      </c>
      <c r="C328" s="36" t="s">
        <v>3</v>
      </c>
      <c r="D328" s="30"/>
      <c r="E328" s="31">
        <f t="shared" si="22"/>
        <v>67.750169491525426</v>
      </c>
      <c r="F328" s="38">
        <v>444.14</v>
      </c>
    </row>
    <row r="329" spans="2:6" ht="11.25">
      <c r="B329" s="35" t="s">
        <v>433</v>
      </c>
      <c r="C329" s="36" t="s">
        <v>3</v>
      </c>
      <c r="D329" s="30"/>
      <c r="E329" s="31">
        <f t="shared" si="22"/>
        <v>137.89372881355933</v>
      </c>
      <c r="F329" s="38">
        <v>903.97</v>
      </c>
    </row>
    <row r="330" spans="2:6" ht="11.25">
      <c r="B330" s="35" t="s">
        <v>434</v>
      </c>
      <c r="C330" s="36" t="s">
        <v>3</v>
      </c>
      <c r="D330" s="30"/>
      <c r="E330" s="31">
        <f t="shared" si="22"/>
        <v>3.6610169491525428</v>
      </c>
      <c r="F330" s="38">
        <v>24</v>
      </c>
    </row>
    <row r="331" spans="2:6" ht="11.25">
      <c r="B331" s="35" t="s">
        <v>435</v>
      </c>
      <c r="C331" s="36" t="s">
        <v>3</v>
      </c>
      <c r="D331" s="30"/>
      <c r="E331" s="31">
        <f t="shared" si="22"/>
        <v>4.2711864406779663</v>
      </c>
      <c r="F331" s="38">
        <v>28</v>
      </c>
    </row>
    <row r="332" spans="2:6" ht="11.25">
      <c r="B332" s="35" t="s">
        <v>436</v>
      </c>
      <c r="C332" s="36" t="s">
        <v>3</v>
      </c>
      <c r="D332" s="30"/>
      <c r="E332" s="31">
        <f t="shared" si="22"/>
        <v>5.639491525423729</v>
      </c>
      <c r="F332" s="38">
        <v>36.97</v>
      </c>
    </row>
    <row r="333" spans="2:6" ht="11.25">
      <c r="B333" s="35" t="s">
        <v>437</v>
      </c>
      <c r="C333" s="36" t="s">
        <v>3</v>
      </c>
      <c r="D333" s="30"/>
      <c r="E333" s="31">
        <f t="shared" si="22"/>
        <v>9.1525423728813546</v>
      </c>
      <c r="F333" s="38">
        <v>60</v>
      </c>
    </row>
    <row r="334" spans="2:6" ht="11.25">
      <c r="B334" s="35" t="s">
        <v>438</v>
      </c>
      <c r="C334" s="36" t="s">
        <v>3</v>
      </c>
      <c r="D334" s="30"/>
      <c r="E334" s="31">
        <f t="shared" si="22"/>
        <v>11.135593220338983</v>
      </c>
      <c r="F334" s="38">
        <v>73</v>
      </c>
    </row>
    <row r="335" spans="2:6" ht="11.25">
      <c r="B335" s="35" t="s">
        <v>439</v>
      </c>
      <c r="C335" s="36" t="s">
        <v>3</v>
      </c>
      <c r="D335" s="30"/>
      <c r="E335" s="31">
        <f t="shared" si="22"/>
        <v>30.050847457627121</v>
      </c>
      <c r="F335" s="38">
        <v>197</v>
      </c>
    </row>
    <row r="336" spans="2:6" ht="11.25">
      <c r="B336" s="35" t="s">
        <v>440</v>
      </c>
      <c r="C336" s="36" t="s">
        <v>3</v>
      </c>
      <c r="D336" s="30"/>
      <c r="E336" s="31">
        <f t="shared" si="22"/>
        <v>32.49152542372881</v>
      </c>
      <c r="F336" s="38">
        <v>213</v>
      </c>
    </row>
    <row r="337" spans="2:6" ht="11.25">
      <c r="B337" s="35" t="s">
        <v>441</v>
      </c>
      <c r="C337" s="36" t="s">
        <v>3</v>
      </c>
      <c r="D337" s="30"/>
      <c r="E337" s="31">
        <f t="shared" si="22"/>
        <v>61.169491525423723</v>
      </c>
      <c r="F337" s="38">
        <v>401</v>
      </c>
    </row>
    <row r="338" spans="2:6" ht="11.25">
      <c r="B338" s="35" t="s">
        <v>442</v>
      </c>
      <c r="C338" s="36" t="s">
        <v>3</v>
      </c>
      <c r="D338" s="30"/>
      <c r="E338" s="31">
        <f t="shared" si="22"/>
        <v>19.525423728813561</v>
      </c>
      <c r="F338" s="38">
        <v>128</v>
      </c>
    </row>
    <row r="339" spans="2:6" ht="11.25">
      <c r="B339" s="35" t="s">
        <v>443</v>
      </c>
      <c r="C339" s="36" t="s">
        <v>3</v>
      </c>
      <c r="D339" s="30"/>
      <c r="E339" s="31">
        <f t="shared" si="22"/>
        <v>19.83050847457627</v>
      </c>
      <c r="F339" s="38">
        <v>130</v>
      </c>
    </row>
    <row r="340" spans="2:6" ht="11.25">
      <c r="B340" s="35" t="s">
        <v>444</v>
      </c>
      <c r="C340" s="36" t="s">
        <v>3</v>
      </c>
      <c r="D340" s="30"/>
      <c r="E340" s="31">
        <f t="shared" si="22"/>
        <v>36.915254237288131</v>
      </c>
      <c r="F340" s="38">
        <v>242</v>
      </c>
    </row>
    <row r="341" spans="2:6" ht="11.25">
      <c r="B341" s="35" t="s">
        <v>445</v>
      </c>
      <c r="C341" s="36" t="s">
        <v>3</v>
      </c>
      <c r="D341" s="30"/>
      <c r="E341" s="31">
        <f t="shared" si="22"/>
        <v>127.37288135593219</v>
      </c>
      <c r="F341" s="38">
        <v>835</v>
      </c>
    </row>
    <row r="342" spans="2:6" ht="11.25">
      <c r="B342" s="35" t="s">
        <v>446</v>
      </c>
      <c r="C342" s="36" t="s">
        <v>9</v>
      </c>
      <c r="D342" s="30"/>
      <c r="E342" s="31">
        <f t="shared" si="22"/>
        <v>18.305084745762709</v>
      </c>
      <c r="F342" s="38">
        <v>120</v>
      </c>
    </row>
    <row r="343" spans="2:6" ht="11.25">
      <c r="B343" s="35"/>
      <c r="C343" s="36"/>
      <c r="D343" s="30"/>
      <c r="E343" s="31"/>
    </row>
    <row r="344" spans="2:6" ht="11.25">
      <c r="B344" s="32" t="s">
        <v>447</v>
      </c>
      <c r="C344" s="36"/>
      <c r="D344" s="30"/>
      <c r="E344" s="31"/>
    </row>
    <row r="345" spans="2:6" ht="11.25">
      <c r="B345" s="35" t="s">
        <v>448</v>
      </c>
      <c r="C345" s="36" t="s">
        <v>3</v>
      </c>
      <c r="D345" s="30"/>
      <c r="E345" s="31">
        <f t="shared" ref="E345:E366" si="23">+F345*0.18/1.18</f>
        <v>104.65322033898303</v>
      </c>
      <c r="F345" s="38">
        <v>686.06</v>
      </c>
    </row>
    <row r="346" spans="2:6" ht="11.25">
      <c r="B346" s="35" t="s">
        <v>449</v>
      </c>
      <c r="C346" s="36" t="s">
        <v>3</v>
      </c>
      <c r="D346" s="30"/>
      <c r="E346" s="31">
        <f t="shared" si="23"/>
        <v>266.38932203389828</v>
      </c>
      <c r="F346" s="38">
        <v>1746.33</v>
      </c>
    </row>
    <row r="347" spans="2:6" ht="11.25">
      <c r="B347" s="35" t="s">
        <v>450</v>
      </c>
      <c r="C347" s="36" t="s">
        <v>3</v>
      </c>
      <c r="D347" s="30"/>
      <c r="E347" s="31">
        <f t="shared" si="23"/>
        <v>338.40000000000003</v>
      </c>
      <c r="F347" s="38">
        <v>2218.4</v>
      </c>
    </row>
    <row r="348" spans="2:6" ht="11.25">
      <c r="B348" s="35" t="s">
        <v>451</v>
      </c>
      <c r="C348" s="36" t="s">
        <v>3</v>
      </c>
      <c r="D348" s="30"/>
      <c r="E348" s="31">
        <f t="shared" si="23"/>
        <v>37.214237288135593</v>
      </c>
      <c r="F348" s="38">
        <v>243.96</v>
      </c>
    </row>
    <row r="349" spans="2:6" ht="11.25">
      <c r="B349" s="35" t="s">
        <v>452</v>
      </c>
      <c r="C349" s="36" t="s">
        <v>3</v>
      </c>
      <c r="D349" s="30"/>
      <c r="E349" s="31">
        <f t="shared" si="23"/>
        <v>27.456101694915258</v>
      </c>
      <c r="F349" s="38">
        <v>179.99</v>
      </c>
    </row>
    <row r="350" spans="2:6" ht="11.25">
      <c r="B350" s="35" t="s">
        <v>453</v>
      </c>
      <c r="C350" s="36" t="s">
        <v>3</v>
      </c>
      <c r="D350" s="30"/>
      <c r="E350" s="31">
        <f t="shared" si="23"/>
        <v>24.20542372881356</v>
      </c>
      <c r="F350" s="38">
        <v>158.68</v>
      </c>
    </row>
    <row r="351" spans="2:6" ht="11.25">
      <c r="B351" s="35" t="s">
        <v>454</v>
      </c>
      <c r="C351" s="36" t="s">
        <v>3</v>
      </c>
      <c r="D351" s="30"/>
      <c r="E351" s="31">
        <f t="shared" si="23"/>
        <v>231.2115254237288</v>
      </c>
      <c r="F351" s="38">
        <v>1515.72</v>
      </c>
    </row>
    <row r="352" spans="2:6" ht="11.25">
      <c r="B352" s="35" t="s">
        <v>455</v>
      </c>
      <c r="C352" s="36" t="s">
        <v>3</v>
      </c>
      <c r="D352" s="30"/>
      <c r="E352" s="31">
        <f t="shared" si="23"/>
        <v>68.162033898305083</v>
      </c>
      <c r="F352" s="38">
        <v>446.84</v>
      </c>
    </row>
    <row r="353" spans="2:6" ht="11.25">
      <c r="B353" s="35" t="s">
        <v>456</v>
      </c>
      <c r="C353" s="36" t="s">
        <v>3</v>
      </c>
      <c r="D353" s="30"/>
      <c r="E353" s="31">
        <f t="shared" si="23"/>
        <v>111.99813559322035</v>
      </c>
      <c r="F353" s="38">
        <v>734.21</v>
      </c>
    </row>
    <row r="354" spans="2:6" ht="11.25">
      <c r="B354" s="35" t="s">
        <v>457</v>
      </c>
      <c r="C354" s="36" t="s">
        <v>178</v>
      </c>
      <c r="D354" s="30"/>
      <c r="E354" s="31">
        <f t="shared" si="23"/>
        <v>28.067796610169491</v>
      </c>
      <c r="F354" s="38">
        <v>184</v>
      </c>
    </row>
    <row r="355" spans="2:6" ht="11.25">
      <c r="B355" s="35" t="s">
        <v>458</v>
      </c>
      <c r="C355" s="36" t="s">
        <v>178</v>
      </c>
      <c r="D355" s="30"/>
      <c r="E355" s="31">
        <f t="shared" si="23"/>
        <v>31.576271186440678</v>
      </c>
      <c r="F355" s="38">
        <v>207</v>
      </c>
    </row>
    <row r="356" spans="2:6" ht="11.25">
      <c r="B356" s="35" t="s">
        <v>459</v>
      </c>
      <c r="C356" s="36" t="s">
        <v>3</v>
      </c>
      <c r="D356" s="30"/>
      <c r="E356" s="31">
        <f t="shared" si="23"/>
        <v>17.582033898305085</v>
      </c>
      <c r="F356" s="38">
        <v>115.26</v>
      </c>
    </row>
    <row r="357" spans="2:6" ht="11.25">
      <c r="B357" s="35" t="s">
        <v>460</v>
      </c>
      <c r="C357" s="36" t="s">
        <v>3</v>
      </c>
      <c r="D357" s="30"/>
      <c r="E357" s="31">
        <f t="shared" si="23"/>
        <v>32.453389830508478</v>
      </c>
      <c r="F357" s="38">
        <v>212.75</v>
      </c>
    </row>
    <row r="358" spans="2:6" ht="11.25">
      <c r="B358" s="35" t="s">
        <v>461</v>
      </c>
      <c r="C358" s="36" t="s">
        <v>3</v>
      </c>
      <c r="D358" s="30"/>
      <c r="E358" s="31">
        <f t="shared" si="23"/>
        <v>28.067796610169491</v>
      </c>
      <c r="F358" s="38">
        <v>184</v>
      </c>
    </row>
    <row r="359" spans="2:6" ht="11.25">
      <c r="B359" s="35" t="s">
        <v>462</v>
      </c>
      <c r="C359" s="36" t="s">
        <v>3</v>
      </c>
      <c r="D359" s="30"/>
      <c r="E359" s="31">
        <f t="shared" si="23"/>
        <v>50.872881355932208</v>
      </c>
      <c r="F359" s="38">
        <v>333.5</v>
      </c>
    </row>
    <row r="360" spans="2:6" ht="12" customHeight="1">
      <c r="B360" s="35" t="s">
        <v>463</v>
      </c>
      <c r="C360" s="36" t="s">
        <v>3</v>
      </c>
      <c r="D360" s="30"/>
      <c r="E360" s="31">
        <f t="shared" si="23"/>
        <v>21.050847457627121</v>
      </c>
      <c r="F360" s="38">
        <v>138</v>
      </c>
    </row>
    <row r="361" spans="2:6" ht="11.25">
      <c r="B361" s="35" t="s">
        <v>464</v>
      </c>
      <c r="C361" s="36" t="s">
        <v>3</v>
      </c>
      <c r="D361" s="30"/>
      <c r="E361" s="31">
        <f t="shared" si="23"/>
        <v>74.555084745762713</v>
      </c>
      <c r="F361" s="38">
        <v>488.75</v>
      </c>
    </row>
    <row r="362" spans="2:6" ht="11.25">
      <c r="B362" s="35" t="s">
        <v>465</v>
      </c>
      <c r="C362" s="36" t="s">
        <v>3</v>
      </c>
      <c r="D362" s="30"/>
      <c r="E362" s="31">
        <f t="shared" si="23"/>
        <v>29.745762711864408</v>
      </c>
      <c r="F362" s="38">
        <v>195</v>
      </c>
    </row>
    <row r="363" spans="2:6" ht="11.25">
      <c r="B363" s="35" t="s">
        <v>466</v>
      </c>
      <c r="C363" s="36" t="s">
        <v>3</v>
      </c>
      <c r="D363" s="30"/>
      <c r="E363" s="31">
        <f t="shared" si="23"/>
        <v>371.11118644067801</v>
      </c>
      <c r="F363" s="38">
        <v>2432.84</v>
      </c>
    </row>
    <row r="364" spans="2:6" ht="11.25">
      <c r="B364" s="35" t="s">
        <v>467</v>
      </c>
      <c r="C364" s="36" t="s">
        <v>3</v>
      </c>
      <c r="D364" s="30"/>
      <c r="E364" s="31">
        <f t="shared" si="23"/>
        <v>356.96288135593221</v>
      </c>
      <c r="F364" s="38">
        <v>2340.09</v>
      </c>
    </row>
    <row r="365" spans="2:6" ht="11.25">
      <c r="B365" s="35" t="s">
        <v>468</v>
      </c>
      <c r="C365" s="36" t="s">
        <v>3</v>
      </c>
      <c r="D365" s="30"/>
      <c r="E365" s="31">
        <f t="shared" si="23"/>
        <v>69.040677966101697</v>
      </c>
      <c r="F365" s="38">
        <v>452.6</v>
      </c>
    </row>
    <row r="366" spans="2:6" ht="11.25">
      <c r="B366" s="35" t="s">
        <v>469</v>
      </c>
      <c r="C366" s="36" t="s">
        <v>3</v>
      </c>
      <c r="D366" s="30"/>
      <c r="E366" s="31">
        <f t="shared" si="23"/>
        <v>79.627118644067792</v>
      </c>
      <c r="F366" s="38">
        <v>522</v>
      </c>
    </row>
    <row r="367" spans="2:6" ht="18" customHeight="1">
      <c r="B367" s="35"/>
      <c r="C367" s="36"/>
      <c r="D367" s="30"/>
      <c r="E367" s="31"/>
      <c r="F367" s="38"/>
    </row>
    <row r="368" spans="2:6" ht="11.25">
      <c r="B368" s="32" t="s">
        <v>470</v>
      </c>
      <c r="C368" s="36"/>
      <c r="D368" s="30"/>
      <c r="E368" s="31"/>
      <c r="F368" s="38"/>
    </row>
    <row r="369" spans="2:6" ht="11.25">
      <c r="B369" s="35" t="s">
        <v>471</v>
      </c>
      <c r="C369" s="36" t="s">
        <v>3</v>
      </c>
      <c r="D369" s="30"/>
      <c r="E369" s="31">
        <f t="shared" ref="E369:E406" si="24">+F369*0.18/1.18</f>
        <v>83.759491525423741</v>
      </c>
      <c r="F369" s="38">
        <v>549.09</v>
      </c>
    </row>
    <row r="370" spans="2:6" ht="11.25">
      <c r="B370" s="35" t="s">
        <v>472</v>
      </c>
      <c r="C370" s="36" t="s">
        <v>3</v>
      </c>
      <c r="D370" s="30"/>
      <c r="E370" s="31">
        <f t="shared" si="24"/>
        <v>48.813559322033896</v>
      </c>
      <c r="F370" s="38">
        <v>320</v>
      </c>
    </row>
    <row r="371" spans="2:6" ht="11.25">
      <c r="B371" s="35" t="s">
        <v>473</v>
      </c>
      <c r="C371" s="36" t="s">
        <v>3</v>
      </c>
      <c r="D371" s="30"/>
      <c r="E371" s="31">
        <f t="shared" si="24"/>
        <v>66.966101694915253</v>
      </c>
      <c r="F371" s="38">
        <v>439</v>
      </c>
    </row>
    <row r="372" spans="2:6" ht="11.25">
      <c r="B372" s="35" t="s">
        <v>474</v>
      </c>
      <c r="C372" s="36" t="s">
        <v>3</v>
      </c>
      <c r="D372" s="30"/>
      <c r="E372" s="31">
        <f t="shared" si="24"/>
        <v>58.728813559322035</v>
      </c>
      <c r="F372" s="38">
        <v>385</v>
      </c>
    </row>
    <row r="373" spans="2:6" ht="11.25">
      <c r="B373" s="35" t="s">
        <v>475</v>
      </c>
      <c r="C373" s="36" t="s">
        <v>3</v>
      </c>
      <c r="D373" s="30"/>
      <c r="E373" s="31">
        <f t="shared" si="24"/>
        <v>165.32847457627119</v>
      </c>
      <c r="F373" s="38">
        <v>1083.82</v>
      </c>
    </row>
    <row r="374" spans="2:6" ht="11.25">
      <c r="B374" s="35" t="s">
        <v>476</v>
      </c>
      <c r="C374" s="36" t="s">
        <v>3</v>
      </c>
      <c r="D374" s="30"/>
      <c r="E374" s="31">
        <f t="shared" si="24"/>
        <v>159.28169491525426</v>
      </c>
      <c r="F374" s="38">
        <v>1044.18</v>
      </c>
    </row>
    <row r="375" spans="2:6" ht="11.25">
      <c r="B375" s="35" t="s">
        <v>477</v>
      </c>
      <c r="C375" s="36" t="s">
        <v>3</v>
      </c>
      <c r="D375" s="30"/>
      <c r="E375" s="31">
        <f t="shared" si="24"/>
        <v>152.10152542372882</v>
      </c>
      <c r="F375" s="38">
        <v>997.11</v>
      </c>
    </row>
    <row r="376" spans="2:6" ht="11.25">
      <c r="B376" s="35" t="s">
        <v>478</v>
      </c>
      <c r="C376" s="36" t="s">
        <v>3</v>
      </c>
      <c r="D376" s="30"/>
      <c r="E376" s="31">
        <f t="shared" si="24"/>
        <v>55.467457627118648</v>
      </c>
      <c r="F376" s="38">
        <v>363.62</v>
      </c>
    </row>
    <row r="377" spans="2:6" ht="11.25">
      <c r="B377" s="35" t="s">
        <v>479</v>
      </c>
      <c r="C377" s="36" t="s">
        <v>3</v>
      </c>
      <c r="D377" s="30"/>
      <c r="E377" s="31">
        <f t="shared" si="24"/>
        <v>151.87576271186441</v>
      </c>
      <c r="F377" s="38">
        <v>995.63</v>
      </c>
    </row>
    <row r="378" spans="2:6" ht="11.25">
      <c r="B378" s="35" t="s">
        <v>480</v>
      </c>
      <c r="C378" s="36" t="s">
        <v>3</v>
      </c>
      <c r="D378" s="30"/>
      <c r="E378" s="31">
        <f t="shared" si="24"/>
        <v>48.276610169491526</v>
      </c>
      <c r="F378" s="38">
        <v>316.48</v>
      </c>
    </row>
    <row r="379" spans="2:6" ht="11.25">
      <c r="B379" s="35" t="s">
        <v>481</v>
      </c>
      <c r="C379" s="36" t="s">
        <v>3</v>
      </c>
      <c r="D379" s="30"/>
      <c r="E379" s="31">
        <f t="shared" si="24"/>
        <v>1.4323728813559324</v>
      </c>
      <c r="F379" s="38">
        <v>9.39</v>
      </c>
    </row>
    <row r="380" spans="2:6" ht="11.25">
      <c r="B380" s="35" t="s">
        <v>482</v>
      </c>
      <c r="C380" s="36" t="s">
        <v>3</v>
      </c>
      <c r="D380" s="30"/>
      <c r="E380" s="31">
        <f t="shared" si="24"/>
        <v>52.387627118644069</v>
      </c>
      <c r="F380" s="38">
        <v>343.43</v>
      </c>
    </row>
    <row r="381" spans="2:6" ht="12" customHeight="1">
      <c r="B381" s="35" t="s">
        <v>483</v>
      </c>
      <c r="C381" s="36" t="s">
        <v>3</v>
      </c>
      <c r="D381" s="30"/>
      <c r="E381" s="31">
        <f t="shared" si="24"/>
        <v>59.430508474576271</v>
      </c>
      <c r="F381" s="38">
        <v>389.6</v>
      </c>
    </row>
    <row r="382" spans="2:6" ht="12" customHeight="1">
      <c r="B382" s="35" t="s">
        <v>484</v>
      </c>
      <c r="C382" s="36" t="s">
        <v>3</v>
      </c>
      <c r="D382" s="30"/>
      <c r="E382" s="31">
        <f t="shared" si="24"/>
        <v>66.032542372881352</v>
      </c>
      <c r="F382" s="38">
        <v>432.88</v>
      </c>
    </row>
    <row r="383" spans="2:6" ht="11.25">
      <c r="B383" s="35" t="s">
        <v>485</v>
      </c>
      <c r="C383" s="36" t="s">
        <v>3</v>
      </c>
      <c r="D383" s="30"/>
      <c r="E383" s="31">
        <f t="shared" si="24"/>
        <v>82.348474576271187</v>
      </c>
      <c r="F383" s="38">
        <v>539.84</v>
      </c>
    </row>
    <row r="384" spans="2:6" ht="11.25">
      <c r="B384" s="35" t="s">
        <v>486</v>
      </c>
      <c r="C384" s="36" t="s">
        <v>3</v>
      </c>
      <c r="D384" s="30"/>
      <c r="E384" s="31">
        <f t="shared" si="24"/>
        <v>74.224067796610157</v>
      </c>
      <c r="F384" s="38">
        <v>486.58</v>
      </c>
    </row>
    <row r="385" spans="2:6" ht="11.25">
      <c r="B385" s="35" t="s">
        <v>487</v>
      </c>
      <c r="C385" s="36" t="s">
        <v>3</v>
      </c>
      <c r="D385" s="30"/>
      <c r="E385" s="31">
        <f t="shared" si="24"/>
        <v>88.282372881355926</v>
      </c>
      <c r="F385" s="38">
        <v>578.74</v>
      </c>
    </row>
    <row r="386" spans="2:6" ht="11.25">
      <c r="B386" s="35" t="s">
        <v>488</v>
      </c>
      <c r="C386" s="36" t="s">
        <v>3</v>
      </c>
      <c r="D386" s="30"/>
      <c r="E386" s="31">
        <f t="shared" si="24"/>
        <v>23.233728813559324</v>
      </c>
      <c r="F386" s="38">
        <v>152.31</v>
      </c>
    </row>
    <row r="387" spans="2:6" ht="11.25">
      <c r="B387" s="35" t="s">
        <v>489</v>
      </c>
      <c r="C387" s="36" t="s">
        <v>3</v>
      </c>
      <c r="D387" s="30"/>
      <c r="E387" s="31">
        <f t="shared" si="24"/>
        <v>23.953728813559323</v>
      </c>
      <c r="F387" s="38">
        <v>157.03</v>
      </c>
    </row>
    <row r="388" spans="2:6" ht="11.25">
      <c r="B388" s="35" t="s">
        <v>490</v>
      </c>
      <c r="C388" s="36" t="s">
        <v>3</v>
      </c>
      <c r="D388" s="30"/>
      <c r="E388" s="31">
        <f t="shared" si="24"/>
        <v>0.90305084745762709</v>
      </c>
      <c r="F388" s="38">
        <v>5.92</v>
      </c>
    </row>
    <row r="389" spans="2:6" ht="11.25">
      <c r="B389" s="35" t="s">
        <v>491</v>
      </c>
      <c r="C389" s="36" t="s">
        <v>3</v>
      </c>
      <c r="D389" s="30"/>
      <c r="E389" s="31">
        <f t="shared" si="24"/>
        <v>0.97016949152542387</v>
      </c>
      <c r="F389" s="38">
        <v>6.36</v>
      </c>
    </row>
    <row r="390" spans="2:6" ht="11.25">
      <c r="B390" s="35" t="s">
        <v>492</v>
      </c>
      <c r="C390" s="36" t="s">
        <v>3</v>
      </c>
      <c r="D390" s="30"/>
      <c r="E390" s="31">
        <f t="shared" si="24"/>
        <v>0.90305084745762709</v>
      </c>
      <c r="F390" s="38">
        <v>5.92</v>
      </c>
    </row>
    <row r="391" spans="2:6" ht="11.25">
      <c r="B391" s="35" t="s">
        <v>493</v>
      </c>
      <c r="C391" s="36" t="s">
        <v>3</v>
      </c>
      <c r="D391" s="30"/>
      <c r="E391" s="31">
        <f t="shared" si="24"/>
        <v>0.75203389830508471</v>
      </c>
      <c r="F391" s="38">
        <v>4.93</v>
      </c>
    </row>
    <row r="392" spans="2:6" ht="11.25">
      <c r="B392" s="35" t="s">
        <v>494</v>
      </c>
      <c r="C392" s="36" t="s">
        <v>3</v>
      </c>
      <c r="D392" s="30"/>
      <c r="E392" s="31">
        <f t="shared" si="24"/>
        <v>0.77644067796610161</v>
      </c>
      <c r="F392" s="38">
        <v>5.09</v>
      </c>
    </row>
    <row r="393" spans="2:6" ht="11.25">
      <c r="B393" s="35" t="s">
        <v>495</v>
      </c>
      <c r="C393" s="36" t="s">
        <v>3</v>
      </c>
      <c r="D393" s="30"/>
      <c r="E393" s="31">
        <f t="shared" si="24"/>
        <v>0.7535593220338983</v>
      </c>
      <c r="F393" s="38">
        <v>4.9400000000000004</v>
      </c>
    </row>
    <row r="394" spans="2:6" ht="11.25">
      <c r="B394" s="35" t="s">
        <v>496</v>
      </c>
      <c r="C394" s="36" t="s">
        <v>3</v>
      </c>
      <c r="D394" s="30"/>
      <c r="E394" s="31">
        <f t="shared" si="24"/>
        <v>0.89694915254237295</v>
      </c>
      <c r="F394" s="38">
        <v>5.88</v>
      </c>
    </row>
    <row r="395" spans="2:6" ht="11.25">
      <c r="B395" s="35" t="s">
        <v>497</v>
      </c>
      <c r="C395" s="36" t="s">
        <v>3</v>
      </c>
      <c r="D395" s="30"/>
      <c r="E395" s="31">
        <f t="shared" si="24"/>
        <v>0.28067796610169493</v>
      </c>
      <c r="F395" s="38">
        <v>1.84</v>
      </c>
    </row>
    <row r="396" spans="2:6" ht="11.25">
      <c r="B396" s="35" t="s">
        <v>498</v>
      </c>
      <c r="C396" s="36" t="s">
        <v>3</v>
      </c>
      <c r="D396" s="30"/>
      <c r="E396" s="31">
        <f t="shared" si="24"/>
        <v>2.7671186440677968</v>
      </c>
      <c r="F396" s="38">
        <v>18.14</v>
      </c>
    </row>
    <row r="397" spans="2:6" ht="11.25">
      <c r="B397" s="35" t="s">
        <v>499</v>
      </c>
      <c r="C397" s="36" t="s">
        <v>3</v>
      </c>
      <c r="D397" s="30"/>
      <c r="E397" s="31">
        <f t="shared" si="24"/>
        <v>3.0722033898305088</v>
      </c>
      <c r="F397" s="38">
        <v>20.14</v>
      </c>
    </row>
    <row r="398" spans="2:6" ht="11.25">
      <c r="B398" s="35" t="s">
        <v>498</v>
      </c>
      <c r="C398" s="36" t="s">
        <v>3</v>
      </c>
      <c r="D398" s="30"/>
      <c r="E398" s="31">
        <f t="shared" si="24"/>
        <v>1.2020338983050847</v>
      </c>
      <c r="F398" s="38">
        <v>7.88</v>
      </c>
    </row>
    <row r="399" spans="2:6" ht="11.25">
      <c r="B399" s="35" t="s">
        <v>500</v>
      </c>
      <c r="C399" s="36" t="s">
        <v>3</v>
      </c>
      <c r="D399" s="30"/>
      <c r="E399" s="31">
        <f t="shared" si="24"/>
        <v>105.66610169491527</v>
      </c>
      <c r="F399" s="38">
        <v>692.7</v>
      </c>
    </row>
    <row r="400" spans="2:6" ht="11.25">
      <c r="B400" s="35" t="s">
        <v>501</v>
      </c>
      <c r="C400" s="36" t="s">
        <v>3</v>
      </c>
      <c r="D400" s="30"/>
      <c r="E400" s="31">
        <f t="shared" si="24"/>
        <v>1416.1698305084747</v>
      </c>
      <c r="F400" s="38">
        <v>9283.7800000000007</v>
      </c>
    </row>
    <row r="401" spans="2:6" ht="11.25">
      <c r="B401" s="35" t="s">
        <v>502</v>
      </c>
      <c r="C401" s="36" t="s">
        <v>3</v>
      </c>
      <c r="D401" s="30"/>
      <c r="E401" s="31">
        <f t="shared" si="24"/>
        <v>1312.5066101694915</v>
      </c>
      <c r="F401" s="38">
        <v>8604.2099999999991</v>
      </c>
    </row>
    <row r="402" spans="2:6" ht="11.25">
      <c r="B402" s="35" t="s">
        <v>503</v>
      </c>
      <c r="C402" s="36" t="s">
        <v>3</v>
      </c>
      <c r="D402" s="30"/>
      <c r="E402" s="31">
        <f t="shared" si="24"/>
        <v>101.65728813559322</v>
      </c>
      <c r="F402" s="38">
        <v>666.42</v>
      </c>
    </row>
    <row r="403" spans="2:6" ht="11.25">
      <c r="B403" s="35" t="s">
        <v>504</v>
      </c>
      <c r="C403" s="36" t="s">
        <v>3</v>
      </c>
      <c r="D403" s="30"/>
      <c r="E403" s="31">
        <f t="shared" si="24"/>
        <v>70.433389830508474</v>
      </c>
      <c r="F403" s="38">
        <v>461.73</v>
      </c>
    </row>
    <row r="404" spans="2:6" ht="11.25">
      <c r="B404" s="35" t="s">
        <v>505</v>
      </c>
      <c r="C404" s="36" t="s">
        <v>3</v>
      </c>
      <c r="D404" s="30"/>
      <c r="E404" s="31">
        <f t="shared" si="24"/>
        <v>111.57711864406781</v>
      </c>
      <c r="F404" s="38">
        <v>731.45</v>
      </c>
    </row>
    <row r="405" spans="2:6" ht="11.25">
      <c r="B405" s="35" t="s">
        <v>506</v>
      </c>
      <c r="C405" s="36" t="s">
        <v>3</v>
      </c>
      <c r="D405" s="30"/>
      <c r="E405" s="31">
        <f t="shared" si="24"/>
        <v>96.811016949152545</v>
      </c>
      <c r="F405" s="38">
        <v>634.65</v>
      </c>
    </row>
    <row r="406" spans="2:6" ht="11.25">
      <c r="B406" s="35" t="s">
        <v>507</v>
      </c>
      <c r="C406" s="36" t="s">
        <v>3</v>
      </c>
      <c r="D406" s="30"/>
      <c r="E406" s="31">
        <f t="shared" si="24"/>
        <v>98.720847457627116</v>
      </c>
      <c r="F406" s="38">
        <v>647.16999999999996</v>
      </c>
    </row>
    <row r="407" spans="2:6" ht="20.25" customHeight="1">
      <c r="B407" s="35"/>
      <c r="C407" s="36"/>
      <c r="D407" s="30"/>
      <c r="E407" s="31"/>
      <c r="F407" s="48"/>
    </row>
    <row r="408" spans="2:6" ht="11.25">
      <c r="B408" s="35"/>
      <c r="C408" s="36"/>
      <c r="D408" s="30"/>
      <c r="E408" s="31"/>
      <c r="F408" s="38"/>
    </row>
    <row r="409" spans="2:6" ht="11.25">
      <c r="B409" s="32" t="s">
        <v>508</v>
      </c>
      <c r="C409" s="36"/>
      <c r="D409" s="30"/>
      <c r="E409" s="31"/>
      <c r="F409" s="38"/>
    </row>
    <row r="410" spans="2:6" ht="11.25">
      <c r="B410" s="35" t="s">
        <v>509</v>
      </c>
      <c r="C410" s="36" t="s">
        <v>3</v>
      </c>
      <c r="D410" s="30"/>
      <c r="E410" s="31">
        <f t="shared" ref="E410:E441" si="25">+F410*0.18/1.18</f>
        <v>1632.2033898305085</v>
      </c>
      <c r="F410" s="38">
        <v>10700</v>
      </c>
    </row>
    <row r="411" spans="2:6" ht="12" customHeight="1">
      <c r="B411" s="35" t="s">
        <v>510</v>
      </c>
      <c r="C411" s="36" t="s">
        <v>3</v>
      </c>
      <c r="D411" s="30"/>
      <c r="E411" s="31">
        <f t="shared" si="25"/>
        <v>1815.2542372881358</v>
      </c>
      <c r="F411" s="38">
        <v>11900</v>
      </c>
    </row>
    <row r="412" spans="2:6" ht="12" customHeight="1">
      <c r="B412" s="35" t="s">
        <v>511</v>
      </c>
      <c r="C412" s="36" t="s">
        <v>3</v>
      </c>
      <c r="D412" s="30"/>
      <c r="E412" s="31">
        <f t="shared" si="25"/>
        <v>1128.8135593220341</v>
      </c>
      <c r="F412" s="38">
        <v>7400</v>
      </c>
    </row>
    <row r="413" spans="2:6" ht="11.25">
      <c r="B413" s="35" t="s">
        <v>512</v>
      </c>
      <c r="C413" s="36" t="s">
        <v>3</v>
      </c>
      <c r="D413" s="30"/>
      <c r="E413" s="31">
        <f t="shared" si="25"/>
        <v>1815.2542372881358</v>
      </c>
      <c r="F413" s="38">
        <v>11900</v>
      </c>
    </row>
    <row r="414" spans="2:6" ht="11.25">
      <c r="B414" s="35" t="s">
        <v>513</v>
      </c>
      <c r="C414" s="36" t="s">
        <v>3</v>
      </c>
      <c r="D414" s="30"/>
      <c r="E414" s="31">
        <f t="shared" si="25"/>
        <v>1815.2542372881358</v>
      </c>
      <c r="F414" s="38">
        <v>11900</v>
      </c>
    </row>
    <row r="415" spans="2:6" ht="11.25">
      <c r="B415" s="35" t="s">
        <v>514</v>
      </c>
      <c r="C415" s="36" t="s">
        <v>3</v>
      </c>
      <c r="D415" s="30"/>
      <c r="E415" s="31">
        <f t="shared" si="25"/>
        <v>3416.9491525423732</v>
      </c>
      <c r="F415" s="38">
        <v>22400</v>
      </c>
    </row>
    <row r="416" spans="2:6" ht="11.25">
      <c r="B416" s="35" t="s">
        <v>515</v>
      </c>
      <c r="C416" s="36" t="s">
        <v>3</v>
      </c>
      <c r="D416" s="30"/>
      <c r="E416" s="31">
        <f t="shared" si="25"/>
        <v>2989.8305084745766</v>
      </c>
      <c r="F416" s="38">
        <v>19600</v>
      </c>
    </row>
    <row r="417" spans="2:6" ht="11.25">
      <c r="B417" s="35" t="s">
        <v>516</v>
      </c>
      <c r="C417" s="36" t="s">
        <v>3</v>
      </c>
      <c r="D417" s="30"/>
      <c r="E417" s="31">
        <f t="shared" si="25"/>
        <v>11.440677966101696</v>
      </c>
      <c r="F417" s="38">
        <v>75</v>
      </c>
    </row>
    <row r="418" spans="2:6" ht="11.25">
      <c r="B418" s="35" t="s">
        <v>517</v>
      </c>
      <c r="C418" s="36" t="s">
        <v>3</v>
      </c>
      <c r="D418" s="30"/>
      <c r="E418" s="31">
        <f t="shared" si="25"/>
        <v>7.3220338983050857</v>
      </c>
      <c r="F418" s="38">
        <v>48</v>
      </c>
    </row>
    <row r="419" spans="2:6" ht="11.25">
      <c r="B419" s="35" t="s">
        <v>518</v>
      </c>
      <c r="C419" s="36" t="s">
        <v>3</v>
      </c>
      <c r="D419" s="30"/>
      <c r="E419" s="31">
        <f t="shared" si="25"/>
        <v>16.016949152542374</v>
      </c>
      <c r="F419" s="38">
        <v>105</v>
      </c>
    </row>
    <row r="420" spans="2:6" ht="11.25">
      <c r="B420" s="35" t="s">
        <v>519</v>
      </c>
      <c r="C420" s="36" t="s">
        <v>3</v>
      </c>
      <c r="D420" s="30"/>
      <c r="E420" s="31">
        <f t="shared" si="25"/>
        <v>14.491525423728813</v>
      </c>
      <c r="F420" s="38">
        <v>95</v>
      </c>
    </row>
    <row r="421" spans="2:6" ht="11.25">
      <c r="B421" s="35" t="s">
        <v>520</v>
      </c>
      <c r="C421" s="36" t="s">
        <v>3</v>
      </c>
      <c r="D421" s="30"/>
      <c r="E421" s="31">
        <f t="shared" si="25"/>
        <v>0.76271186440677963</v>
      </c>
      <c r="F421" s="38">
        <v>5</v>
      </c>
    </row>
    <row r="422" spans="2:6" ht="11.25">
      <c r="B422" s="35" t="s">
        <v>521</v>
      </c>
      <c r="C422" s="36" t="s">
        <v>3</v>
      </c>
      <c r="D422" s="30"/>
      <c r="E422" s="31">
        <f t="shared" si="25"/>
        <v>1.2203389830508475</v>
      </c>
      <c r="F422" s="38">
        <v>8</v>
      </c>
    </row>
    <row r="423" spans="2:6" ht="11.25">
      <c r="B423" s="35" t="s">
        <v>522</v>
      </c>
      <c r="C423" s="36" t="s">
        <v>14</v>
      </c>
      <c r="D423" s="30"/>
      <c r="E423" s="31">
        <f t="shared" si="25"/>
        <v>7.6271186440677967</v>
      </c>
      <c r="F423" s="38">
        <v>50</v>
      </c>
    </row>
    <row r="424" spans="2:6" ht="11.25" customHeight="1">
      <c r="B424" s="35" t="s">
        <v>523</v>
      </c>
      <c r="C424" s="36" t="s">
        <v>14</v>
      </c>
      <c r="D424" s="30"/>
      <c r="E424" s="31">
        <f t="shared" si="25"/>
        <v>10.677966101694915</v>
      </c>
      <c r="F424" s="38">
        <v>70</v>
      </c>
    </row>
    <row r="425" spans="2:6" ht="12.75" customHeight="1">
      <c r="B425" s="35" t="s">
        <v>524</v>
      </c>
      <c r="C425" s="36" t="s">
        <v>14</v>
      </c>
      <c r="D425" s="30"/>
      <c r="E425" s="31">
        <f t="shared" si="25"/>
        <v>10.677966101694915</v>
      </c>
      <c r="F425" s="38">
        <v>70</v>
      </c>
    </row>
    <row r="426" spans="2:6" ht="22.5">
      <c r="B426" s="35" t="s">
        <v>525</v>
      </c>
      <c r="C426" s="36" t="s">
        <v>3</v>
      </c>
      <c r="D426" s="30"/>
      <c r="E426" s="31">
        <f t="shared" si="25"/>
        <v>602.54237288135596</v>
      </c>
      <c r="F426" s="38">
        <v>3950</v>
      </c>
    </row>
    <row r="427" spans="2:6" ht="22.5">
      <c r="B427" s="35" t="s">
        <v>526</v>
      </c>
      <c r="C427" s="36" t="s">
        <v>3</v>
      </c>
      <c r="D427" s="30"/>
      <c r="E427" s="31">
        <f t="shared" si="25"/>
        <v>335.59322033898309</v>
      </c>
      <c r="F427" s="38">
        <v>2200</v>
      </c>
    </row>
    <row r="428" spans="2:6" ht="12" customHeight="1">
      <c r="B428" s="35" t="s">
        <v>527</v>
      </c>
      <c r="C428" s="36" t="s">
        <v>3</v>
      </c>
      <c r="D428" s="30"/>
      <c r="E428" s="31">
        <f t="shared" si="25"/>
        <v>495.76271186440681</v>
      </c>
      <c r="F428" s="38">
        <v>3250</v>
      </c>
    </row>
    <row r="429" spans="2:6" ht="11.25">
      <c r="B429" s="35" t="s">
        <v>528</v>
      </c>
      <c r="C429" s="36" t="s">
        <v>3</v>
      </c>
      <c r="D429" s="30"/>
      <c r="E429" s="31">
        <f t="shared" si="25"/>
        <v>976.27118644067798</v>
      </c>
      <c r="F429" s="38">
        <v>6400</v>
      </c>
    </row>
    <row r="430" spans="2:6" ht="22.5">
      <c r="B430" s="35" t="s">
        <v>529</v>
      </c>
      <c r="C430" s="36" t="s">
        <v>3</v>
      </c>
      <c r="D430" s="30"/>
      <c r="E430" s="31">
        <f t="shared" si="25"/>
        <v>1.6779661016949152</v>
      </c>
      <c r="F430" s="38">
        <v>11</v>
      </c>
    </row>
    <row r="431" spans="2:6" ht="11.25">
      <c r="B431" s="35" t="s">
        <v>530</v>
      </c>
      <c r="C431" s="36" t="s">
        <v>3</v>
      </c>
      <c r="D431" s="30"/>
      <c r="E431" s="31">
        <f t="shared" si="25"/>
        <v>76.271186440677965</v>
      </c>
      <c r="F431" s="38">
        <v>500</v>
      </c>
    </row>
    <row r="432" spans="2:6" ht="11.25">
      <c r="B432" s="35" t="s">
        <v>531</v>
      </c>
      <c r="C432" s="36" t="s">
        <v>3</v>
      </c>
      <c r="D432" s="30"/>
      <c r="E432" s="31">
        <f t="shared" si="25"/>
        <v>228.81355932203391</v>
      </c>
      <c r="F432" s="38">
        <v>1500</v>
      </c>
    </row>
    <row r="433" spans="2:6" ht="11.25">
      <c r="B433" s="35" t="s">
        <v>532</v>
      </c>
      <c r="C433" s="36" t="s">
        <v>3</v>
      </c>
      <c r="D433" s="30"/>
      <c r="E433" s="31">
        <f t="shared" si="25"/>
        <v>95.33898305084746</v>
      </c>
      <c r="F433" s="38">
        <v>625</v>
      </c>
    </row>
    <row r="434" spans="2:6" ht="11.25">
      <c r="B434" s="35" t="s">
        <v>533</v>
      </c>
      <c r="C434" s="36" t="s">
        <v>3</v>
      </c>
      <c r="D434" s="30"/>
      <c r="E434" s="31">
        <f t="shared" si="25"/>
        <v>95.33898305084746</v>
      </c>
      <c r="F434" s="38">
        <v>625</v>
      </c>
    </row>
    <row r="435" spans="2:6" ht="11.25">
      <c r="B435" s="35" t="s">
        <v>534</v>
      </c>
      <c r="C435" s="36" t="s">
        <v>3</v>
      </c>
      <c r="D435" s="30"/>
      <c r="E435" s="31">
        <f t="shared" si="25"/>
        <v>95.33898305084746</v>
      </c>
      <c r="F435" s="38">
        <v>625</v>
      </c>
    </row>
    <row r="436" spans="2:6" ht="12" customHeight="1">
      <c r="B436" s="35" t="s">
        <v>535</v>
      </c>
      <c r="C436" s="36" t="s">
        <v>3</v>
      </c>
      <c r="D436" s="30"/>
      <c r="E436" s="31">
        <f t="shared" si="25"/>
        <v>259.32203389830511</v>
      </c>
      <c r="F436" s="38">
        <v>1700</v>
      </c>
    </row>
    <row r="437" spans="2:6" ht="11.25">
      <c r="B437" s="35" t="s">
        <v>536</v>
      </c>
      <c r="C437" s="36" t="s">
        <v>3</v>
      </c>
      <c r="D437" s="30"/>
      <c r="E437" s="31">
        <f t="shared" si="25"/>
        <v>175.42372881355934</v>
      </c>
      <c r="F437" s="38">
        <v>1150</v>
      </c>
    </row>
    <row r="438" spans="2:6" ht="11.25">
      <c r="B438" s="35" t="s">
        <v>537</v>
      </c>
      <c r="C438" s="36" t="s">
        <v>3</v>
      </c>
      <c r="D438" s="30"/>
      <c r="E438" s="31">
        <f t="shared" si="25"/>
        <v>549.15254237288138</v>
      </c>
      <c r="F438" s="38">
        <v>3600</v>
      </c>
    </row>
    <row r="439" spans="2:6" ht="11.25">
      <c r="B439" s="35" t="s">
        <v>538</v>
      </c>
      <c r="C439" s="36" t="s">
        <v>3</v>
      </c>
      <c r="D439" s="30"/>
      <c r="E439" s="31">
        <f t="shared" si="25"/>
        <v>4.7288135593220346</v>
      </c>
      <c r="F439" s="38">
        <v>31</v>
      </c>
    </row>
    <row r="440" spans="2:6" ht="11.25">
      <c r="B440" s="35" t="s">
        <v>539</v>
      </c>
      <c r="C440" s="36" t="s">
        <v>3</v>
      </c>
      <c r="D440" s="30"/>
      <c r="E440" s="31">
        <f t="shared" si="25"/>
        <v>7.7796610169491531</v>
      </c>
      <c r="F440" s="38">
        <v>51</v>
      </c>
    </row>
    <row r="441" spans="2:6" ht="11.25">
      <c r="B441" s="35" t="s">
        <v>540</v>
      </c>
      <c r="C441" s="36" t="s">
        <v>3</v>
      </c>
      <c r="D441" s="30"/>
      <c r="E441" s="31">
        <f t="shared" si="25"/>
        <v>9.1525423728813546</v>
      </c>
      <c r="F441" s="38">
        <v>60</v>
      </c>
    </row>
    <row r="442" spans="2:6" ht="11.25">
      <c r="B442" s="35"/>
      <c r="C442" s="36"/>
      <c r="D442" s="30"/>
      <c r="E442" s="31"/>
    </row>
    <row r="443" spans="2:6" ht="11.25">
      <c r="B443" s="32" t="s">
        <v>541</v>
      </c>
      <c r="C443" s="36"/>
      <c r="D443" s="30"/>
      <c r="E443" s="31"/>
    </row>
    <row r="444" spans="2:6" ht="11.25">
      <c r="B444" s="35" t="s">
        <v>542</v>
      </c>
      <c r="C444" s="36" t="s">
        <v>3</v>
      </c>
      <c r="D444" s="30"/>
      <c r="E444" s="31">
        <f t="shared" ref="E444:E452" si="26">+F444*0.18/1.18</f>
        <v>55.83050847457627</v>
      </c>
      <c r="F444" s="38">
        <v>366</v>
      </c>
    </row>
    <row r="445" spans="2:6" ht="11.25">
      <c r="B445" s="35" t="s">
        <v>543</v>
      </c>
      <c r="C445" s="36" t="s">
        <v>3</v>
      </c>
      <c r="D445" s="30"/>
      <c r="E445" s="31">
        <f t="shared" si="26"/>
        <v>13.423728813559322</v>
      </c>
      <c r="F445" s="38">
        <v>88</v>
      </c>
    </row>
    <row r="446" spans="2:6" ht="11.25">
      <c r="B446" s="35" t="s">
        <v>544</v>
      </c>
      <c r="C446" s="36" t="s">
        <v>3</v>
      </c>
      <c r="D446" s="30"/>
      <c r="E446" s="31">
        <f t="shared" si="26"/>
        <v>28.677966101694913</v>
      </c>
      <c r="F446" s="38">
        <v>188</v>
      </c>
    </row>
    <row r="447" spans="2:6" ht="11.25">
      <c r="B447" s="35" t="s">
        <v>545</v>
      </c>
      <c r="C447" s="36" t="s">
        <v>3</v>
      </c>
      <c r="D447" s="30"/>
      <c r="E447" s="31">
        <f t="shared" si="26"/>
        <v>19.83050847457627</v>
      </c>
      <c r="F447" s="38">
        <v>130</v>
      </c>
    </row>
    <row r="448" spans="2:6" ht="11.25">
      <c r="B448" s="35" t="s">
        <v>546</v>
      </c>
      <c r="C448" s="36" t="s">
        <v>3</v>
      </c>
      <c r="D448" s="30"/>
      <c r="E448" s="31">
        <f t="shared" si="26"/>
        <v>19.83050847457627</v>
      </c>
      <c r="F448" s="38">
        <v>130</v>
      </c>
    </row>
    <row r="449" spans="2:6" ht="11.25">
      <c r="B449" s="35" t="s">
        <v>547</v>
      </c>
      <c r="C449" s="36" t="s">
        <v>3</v>
      </c>
      <c r="D449" s="30"/>
      <c r="E449" s="31">
        <f t="shared" si="26"/>
        <v>19.83050847457627</v>
      </c>
      <c r="F449" s="38">
        <v>130</v>
      </c>
    </row>
    <row r="450" spans="2:6" ht="11.25">
      <c r="B450" s="44" t="s">
        <v>548</v>
      </c>
      <c r="C450" s="36" t="s">
        <v>9</v>
      </c>
      <c r="D450" s="30"/>
      <c r="E450" s="31">
        <f t="shared" si="26"/>
        <v>134.23728813559325</v>
      </c>
      <c r="F450" s="38">
        <v>880</v>
      </c>
    </row>
    <row r="451" spans="2:6" ht="11.25">
      <c r="B451" s="44" t="s">
        <v>549</v>
      </c>
      <c r="C451" s="36" t="s">
        <v>9</v>
      </c>
      <c r="D451" s="30"/>
      <c r="E451" s="31">
        <f t="shared" si="26"/>
        <v>139.57627118644066</v>
      </c>
      <c r="F451" s="38">
        <v>915</v>
      </c>
    </row>
    <row r="452" spans="2:6" ht="11.25">
      <c r="B452" s="44" t="s">
        <v>550</v>
      </c>
      <c r="C452" s="36" t="s">
        <v>9</v>
      </c>
      <c r="D452" s="30"/>
      <c r="E452" s="31">
        <f t="shared" si="26"/>
        <v>121.27118644067797</v>
      </c>
      <c r="F452" s="38">
        <v>795</v>
      </c>
    </row>
    <row r="453" spans="2:6" ht="11.25">
      <c r="C453" s="36"/>
      <c r="D453" s="30"/>
      <c r="E453" s="31"/>
      <c r="F453" s="38"/>
    </row>
    <row r="454" spans="2:6" ht="11.25">
      <c r="B454" s="32" t="s">
        <v>551</v>
      </c>
      <c r="C454" s="36"/>
      <c r="D454" s="30"/>
      <c r="E454" s="31"/>
    </row>
    <row r="455" spans="2:6" ht="11.25">
      <c r="B455" s="44" t="s">
        <v>552</v>
      </c>
      <c r="C455" s="36" t="s">
        <v>3</v>
      </c>
      <c r="D455" s="30"/>
      <c r="E455" s="31">
        <f t="shared" ref="E455:E461" si="27">+F455*0.18/1.18</f>
        <v>126.31271186440677</v>
      </c>
      <c r="F455" s="38">
        <v>828.05</v>
      </c>
    </row>
    <row r="456" spans="2:6" ht="11.25">
      <c r="B456" s="44" t="s">
        <v>553</v>
      </c>
      <c r="C456" s="36" t="s">
        <v>3</v>
      </c>
      <c r="D456" s="30"/>
      <c r="E456" s="31">
        <f t="shared" si="27"/>
        <v>300.19728813559323</v>
      </c>
      <c r="F456" s="38">
        <v>1967.96</v>
      </c>
    </row>
    <row r="457" spans="2:6" ht="11.25">
      <c r="B457" s="44" t="s">
        <v>554</v>
      </c>
      <c r="C457" s="36" t="s">
        <v>3</v>
      </c>
      <c r="D457" s="30"/>
      <c r="E457" s="31">
        <f t="shared" si="27"/>
        <v>232.08254237288136</v>
      </c>
      <c r="F457" s="38">
        <v>1521.43</v>
      </c>
    </row>
    <row r="458" spans="2:6" ht="11.25">
      <c r="B458" s="44" t="s">
        <v>555</v>
      </c>
      <c r="C458" s="36" t="s">
        <v>3</v>
      </c>
      <c r="D458" s="30"/>
      <c r="E458" s="31">
        <f t="shared" si="27"/>
        <v>207.37983050847458</v>
      </c>
      <c r="F458" s="38">
        <v>1359.49</v>
      </c>
    </row>
    <row r="459" spans="2:6" ht="11.25">
      <c r="B459" s="44" t="s">
        <v>556</v>
      </c>
      <c r="C459" s="36" t="s">
        <v>3</v>
      </c>
      <c r="D459" s="30"/>
      <c r="E459" s="31">
        <f t="shared" si="27"/>
        <v>89.737627118644056</v>
      </c>
      <c r="F459" s="38">
        <v>588.28</v>
      </c>
    </row>
    <row r="460" spans="2:6" ht="11.25">
      <c r="B460" s="44" t="s">
        <v>557</v>
      </c>
      <c r="C460" s="36" t="s">
        <v>3</v>
      </c>
      <c r="D460" s="30"/>
      <c r="E460" s="31">
        <f t="shared" si="27"/>
        <v>70.312881355932205</v>
      </c>
      <c r="F460" s="38">
        <v>460.94</v>
      </c>
    </row>
    <row r="461" spans="2:6" ht="11.25">
      <c r="B461" s="44" t="s">
        <v>558</v>
      </c>
      <c r="C461" s="36" t="s">
        <v>14</v>
      </c>
      <c r="D461" s="30"/>
      <c r="E461" s="31">
        <f t="shared" si="27"/>
        <v>33.263389830508473</v>
      </c>
      <c r="F461" s="38">
        <v>218.06</v>
      </c>
    </row>
    <row r="462" spans="2:6" ht="11.25">
      <c r="C462" s="36"/>
      <c r="D462" s="30"/>
      <c r="E462" s="31"/>
      <c r="F462" s="38"/>
    </row>
    <row r="463" spans="2:6" ht="11.25">
      <c r="B463" s="32" t="s">
        <v>559</v>
      </c>
      <c r="C463" s="36"/>
      <c r="D463" s="30"/>
      <c r="E463" s="31"/>
    </row>
    <row r="464" spans="2:6" ht="11.25">
      <c r="B464" s="35" t="s">
        <v>560</v>
      </c>
      <c r="C464" s="36" t="s">
        <v>3</v>
      </c>
      <c r="D464" s="30"/>
      <c r="E464" s="31">
        <f t="shared" ref="E464:E502" si="28">+F464*0.18/1.18</f>
        <v>83.88</v>
      </c>
      <c r="F464" s="38">
        <v>549.88</v>
      </c>
    </row>
    <row r="465" spans="2:6" ht="11.25">
      <c r="B465" s="35" t="s">
        <v>561</v>
      </c>
      <c r="C465" s="36" t="s">
        <v>3</v>
      </c>
      <c r="D465" s="30"/>
      <c r="E465" s="31">
        <f t="shared" si="28"/>
        <v>131.22</v>
      </c>
      <c r="F465" s="38">
        <v>860.22</v>
      </c>
    </row>
    <row r="466" spans="2:6" ht="11.25">
      <c r="B466" s="35" t="s">
        <v>562</v>
      </c>
      <c r="C466" s="36" t="s">
        <v>3</v>
      </c>
      <c r="D466" s="37">
        <f>+F466-E466</f>
        <v>1885.593220338983</v>
      </c>
      <c r="E466" s="31">
        <f t="shared" si="28"/>
        <v>339.40677966101697</v>
      </c>
      <c r="F466" s="38">
        <v>2225</v>
      </c>
    </row>
    <row r="467" spans="2:6" ht="11.25">
      <c r="B467" s="35" t="s">
        <v>563</v>
      </c>
      <c r="C467" s="36" t="s">
        <v>3</v>
      </c>
      <c r="D467" s="37">
        <f>+F467-E467</f>
        <v>1567.7966101694915</v>
      </c>
      <c r="E467" s="31">
        <f t="shared" si="28"/>
        <v>282.20338983050851</v>
      </c>
      <c r="F467" s="38">
        <v>1850</v>
      </c>
    </row>
    <row r="468" spans="2:6" ht="11.25">
      <c r="B468" s="35" t="s">
        <v>564</v>
      </c>
      <c r="C468" s="36" t="s">
        <v>3</v>
      </c>
      <c r="D468" s="30"/>
      <c r="E468" s="31">
        <f t="shared" si="28"/>
        <v>140.33898305084745</v>
      </c>
      <c r="F468" s="38">
        <v>920</v>
      </c>
    </row>
    <row r="469" spans="2:6" ht="11.25">
      <c r="B469" s="35" t="s">
        <v>565</v>
      </c>
      <c r="C469" s="36" t="s">
        <v>3</v>
      </c>
      <c r="D469" s="30"/>
      <c r="E469" s="31">
        <f t="shared" si="28"/>
        <v>136.52542372881356</v>
      </c>
      <c r="F469" s="38">
        <v>895</v>
      </c>
    </row>
    <row r="470" spans="2:6" ht="11.25">
      <c r="B470" s="35" t="s">
        <v>566</v>
      </c>
      <c r="C470" s="36" t="s">
        <v>3</v>
      </c>
      <c r="D470" s="30"/>
      <c r="E470" s="31">
        <f t="shared" si="28"/>
        <v>110.13559322033899</v>
      </c>
      <c r="F470" s="38">
        <v>722</v>
      </c>
    </row>
    <row r="471" spans="2:6" ht="11.25">
      <c r="B471" s="35" t="s">
        <v>567</v>
      </c>
      <c r="C471" s="36" t="s">
        <v>3</v>
      </c>
      <c r="D471" s="30"/>
      <c r="E471" s="31">
        <f t="shared" si="28"/>
        <v>1546.7796610169494</v>
      </c>
      <c r="F471" s="38">
        <v>10140</v>
      </c>
    </row>
    <row r="472" spans="2:6" ht="11.25">
      <c r="B472" s="35" t="s">
        <v>568</v>
      </c>
      <c r="C472" s="36" t="s">
        <v>3</v>
      </c>
      <c r="D472" s="30"/>
      <c r="E472" s="31">
        <f t="shared" si="28"/>
        <v>1427.7966101694915</v>
      </c>
      <c r="F472" s="38">
        <v>9360</v>
      </c>
    </row>
    <row r="473" spans="2:6" ht="11.25">
      <c r="B473" s="35" t="s">
        <v>569</v>
      </c>
      <c r="C473" s="36" t="s">
        <v>3</v>
      </c>
      <c r="D473" s="30"/>
      <c r="E473" s="31">
        <f t="shared" si="28"/>
        <v>1716.1016949152543</v>
      </c>
      <c r="F473" s="38">
        <v>11250</v>
      </c>
    </row>
    <row r="474" spans="2:6" ht="11.25">
      <c r="B474" s="35" t="s">
        <v>570</v>
      </c>
      <c r="C474" s="36" t="s">
        <v>3</v>
      </c>
      <c r="D474" s="30"/>
      <c r="E474" s="31">
        <f t="shared" si="28"/>
        <v>1189.8305084745764</v>
      </c>
      <c r="F474" s="38">
        <v>7800</v>
      </c>
    </row>
    <row r="475" spans="2:6" ht="11.25">
      <c r="B475" s="35" t="s">
        <v>571</v>
      </c>
      <c r="C475" s="36" t="s">
        <v>3</v>
      </c>
      <c r="D475" s="30"/>
      <c r="E475" s="31">
        <f t="shared" si="28"/>
        <v>1784.7457627118645</v>
      </c>
      <c r="F475" s="38">
        <v>11700</v>
      </c>
    </row>
    <row r="476" spans="2:6" ht="11.25">
      <c r="B476" s="35" t="s">
        <v>572</v>
      </c>
      <c r="C476" s="36" t="s">
        <v>3</v>
      </c>
      <c r="D476" s="30"/>
      <c r="E476" s="31">
        <f t="shared" si="28"/>
        <v>2855.593220338983</v>
      </c>
      <c r="F476" s="38">
        <v>18720</v>
      </c>
    </row>
    <row r="477" spans="2:6" ht="11.25">
      <c r="B477" s="35" t="s">
        <v>573</v>
      </c>
      <c r="C477" s="36" t="s">
        <v>3</v>
      </c>
      <c r="D477" s="30"/>
      <c r="E477" s="31">
        <f t="shared" si="28"/>
        <v>3688.4745762711864</v>
      </c>
      <c r="F477" s="38">
        <v>24180</v>
      </c>
    </row>
    <row r="478" spans="2:6" ht="11.25">
      <c r="B478" s="35" t="s">
        <v>574</v>
      </c>
      <c r="C478" s="36" t="s">
        <v>3</v>
      </c>
      <c r="D478" s="30"/>
      <c r="E478" s="31">
        <f t="shared" si="28"/>
        <v>1427.7966101694915</v>
      </c>
      <c r="F478" s="38">
        <v>9360</v>
      </c>
    </row>
    <row r="479" spans="2:6" ht="11.25">
      <c r="B479" s="35" t="s">
        <v>575</v>
      </c>
      <c r="C479" s="36" t="s">
        <v>3</v>
      </c>
      <c r="D479" s="30"/>
      <c r="E479" s="31">
        <f t="shared" si="28"/>
        <v>1784.7457627118645</v>
      </c>
      <c r="F479" s="38">
        <v>11700</v>
      </c>
    </row>
    <row r="480" spans="2:6" ht="11.25">
      <c r="B480" s="35" t="s">
        <v>576</v>
      </c>
      <c r="C480" s="36" t="s">
        <v>3</v>
      </c>
      <c r="D480" s="30"/>
      <c r="E480" s="31">
        <f t="shared" si="28"/>
        <v>5304.6610169491532</v>
      </c>
      <c r="F480" s="38">
        <v>34775</v>
      </c>
    </row>
    <row r="481" spans="2:12" ht="11.25">
      <c r="B481" s="35" t="s">
        <v>577</v>
      </c>
      <c r="C481" s="36" t="s">
        <v>3</v>
      </c>
      <c r="D481" s="30"/>
      <c r="E481" s="31">
        <f t="shared" si="28"/>
        <v>4817.2881355932204</v>
      </c>
      <c r="F481" s="38">
        <v>31580</v>
      </c>
      <c r="G481" s="30">
        <f>+F481/H481</f>
        <v>32.250816993464049</v>
      </c>
      <c r="H481" s="30">
        <v>979.2</v>
      </c>
    </row>
    <row r="482" spans="2:12" ht="11.25">
      <c r="B482" s="35" t="s">
        <v>578</v>
      </c>
      <c r="C482" s="36" t="s">
        <v>3</v>
      </c>
      <c r="D482" s="30"/>
      <c r="E482" s="31">
        <f t="shared" si="28"/>
        <v>3813.5593220338983</v>
      </c>
      <c r="F482" s="38">
        <v>25000</v>
      </c>
    </row>
    <row r="483" spans="2:12" ht="11.25">
      <c r="B483" s="35" t="s">
        <v>579</v>
      </c>
      <c r="C483" s="36" t="s">
        <v>3</v>
      </c>
      <c r="D483" s="30"/>
      <c r="E483" s="31">
        <f t="shared" si="28"/>
        <v>2590.6271186440681</v>
      </c>
      <c r="F483" s="38">
        <v>16983</v>
      </c>
      <c r="G483" s="30">
        <f>+F483/H484</f>
        <v>34.6875</v>
      </c>
      <c r="H483" s="30">
        <v>652.79999999999995</v>
      </c>
    </row>
    <row r="484" spans="2:12" ht="11.25">
      <c r="B484" s="35" t="s">
        <v>580</v>
      </c>
      <c r="C484" s="36" t="s">
        <v>3</v>
      </c>
      <c r="D484" s="37">
        <f>+F484-E484</f>
        <v>15293.22033898305</v>
      </c>
      <c r="E484" s="31">
        <f t="shared" si="28"/>
        <v>2752.7796610169489</v>
      </c>
      <c r="F484" s="38">
        <v>18046</v>
      </c>
      <c r="G484" s="30">
        <f>+F484/H484</f>
        <v>36.858660130718953</v>
      </c>
      <c r="H484" s="30">
        <v>489.6</v>
      </c>
    </row>
    <row r="485" spans="2:12" ht="11.25">
      <c r="B485" s="35" t="s">
        <v>581</v>
      </c>
      <c r="C485" s="36" t="s">
        <v>3</v>
      </c>
      <c r="D485" s="30"/>
      <c r="E485" s="31">
        <f t="shared" si="28"/>
        <v>1479.6625423728815</v>
      </c>
      <c r="F485" s="38">
        <v>9700.01</v>
      </c>
      <c r="I485" s="30">
        <f>4*12</f>
        <v>48</v>
      </c>
      <c r="J485" s="30">
        <f>8*12</f>
        <v>96</v>
      </c>
      <c r="K485" s="30">
        <f>+J485*I485</f>
        <v>4608</v>
      </c>
    </row>
    <row r="486" spans="2:12" ht="11.25">
      <c r="B486" s="35" t="s">
        <v>582</v>
      </c>
      <c r="C486" s="36" t="s">
        <v>3</v>
      </c>
      <c r="D486" s="30"/>
      <c r="E486" s="31">
        <f t="shared" si="28"/>
        <v>1250.8474576271187</v>
      </c>
      <c r="F486" s="38">
        <v>8200</v>
      </c>
      <c r="I486" s="30">
        <f>1*3.281*12</f>
        <v>39.372</v>
      </c>
      <c r="J486" s="30">
        <v>6</v>
      </c>
      <c r="K486" s="30">
        <f>+J486*I486</f>
        <v>236.232</v>
      </c>
    </row>
    <row r="487" spans="2:12" ht="11.25">
      <c r="B487" s="35" t="s">
        <v>583</v>
      </c>
      <c r="C487" s="36" t="s">
        <v>3</v>
      </c>
      <c r="D487" s="30"/>
      <c r="E487" s="31">
        <f t="shared" si="28"/>
        <v>907.62711864406788</v>
      </c>
      <c r="F487" s="38">
        <v>5950</v>
      </c>
      <c r="L487" s="30">
        <f>+K486/K485</f>
        <v>5.1265625000000002E-2</v>
      </c>
    </row>
    <row r="488" spans="2:12" ht="11.25">
      <c r="B488" s="35" t="s">
        <v>584</v>
      </c>
      <c r="C488" s="36" t="s">
        <v>3</v>
      </c>
      <c r="D488" s="30"/>
      <c r="E488" s="31">
        <f t="shared" si="28"/>
        <v>430.16949152542372</v>
      </c>
      <c r="F488" s="38">
        <v>2820</v>
      </c>
    </row>
    <row r="489" spans="2:12" ht="11.25">
      <c r="B489" s="35" t="s">
        <v>585</v>
      </c>
      <c r="C489" s="36" t="s">
        <v>3</v>
      </c>
      <c r="D489" s="30"/>
      <c r="E489" s="31">
        <f t="shared" si="28"/>
        <v>167.79661016949154</v>
      </c>
      <c r="F489" s="38">
        <v>1100</v>
      </c>
    </row>
    <row r="490" spans="2:12" ht="11.25">
      <c r="B490" s="35" t="s">
        <v>586</v>
      </c>
      <c r="C490" s="36" t="s">
        <v>3</v>
      </c>
      <c r="D490" s="30"/>
      <c r="E490" s="31">
        <f t="shared" si="28"/>
        <v>31.271186440677965</v>
      </c>
      <c r="F490" s="38">
        <v>205</v>
      </c>
    </row>
    <row r="491" spans="2:12" ht="11.25">
      <c r="B491" s="35" t="s">
        <v>587</v>
      </c>
      <c r="C491" s="36" t="s">
        <v>3</v>
      </c>
      <c r="D491" s="30"/>
      <c r="E491" s="31">
        <f t="shared" si="28"/>
        <v>39.203389830508478</v>
      </c>
      <c r="F491" s="38">
        <v>257</v>
      </c>
    </row>
    <row r="492" spans="2:12" ht="11.25">
      <c r="B492" s="35" t="s">
        <v>588</v>
      </c>
      <c r="C492" s="36" t="s">
        <v>178</v>
      </c>
      <c r="D492" s="30"/>
      <c r="E492" s="31">
        <f t="shared" si="28"/>
        <v>11.898305084745763</v>
      </c>
      <c r="F492" s="38">
        <v>78</v>
      </c>
    </row>
    <row r="493" spans="2:12" ht="11.25">
      <c r="B493" s="35" t="s">
        <v>589</v>
      </c>
      <c r="C493" s="36" t="s">
        <v>178</v>
      </c>
      <c r="D493" s="30"/>
      <c r="E493" s="31">
        <f t="shared" si="28"/>
        <v>16.627118644067799</v>
      </c>
      <c r="F493" s="38">
        <v>109</v>
      </c>
    </row>
    <row r="494" spans="2:12" ht="11.25">
      <c r="B494" s="35" t="s">
        <v>590</v>
      </c>
      <c r="C494" s="36" t="s">
        <v>3</v>
      </c>
      <c r="D494" s="37">
        <f>+F494-E494</f>
        <v>275.42372881355931</v>
      </c>
      <c r="E494" s="31">
        <f t="shared" si="28"/>
        <v>49.576271186440678</v>
      </c>
      <c r="F494" s="38">
        <v>325</v>
      </c>
    </row>
    <row r="495" spans="2:12" ht="11.25">
      <c r="B495" s="35" t="s">
        <v>591</v>
      </c>
      <c r="C495" s="36" t="s">
        <v>3</v>
      </c>
      <c r="D495" s="30"/>
      <c r="E495" s="31">
        <f t="shared" si="28"/>
        <v>53.389830508474581</v>
      </c>
      <c r="F495" s="38">
        <v>350</v>
      </c>
    </row>
    <row r="496" spans="2:12" ht="11.25">
      <c r="B496" s="35" t="s">
        <v>592</v>
      </c>
      <c r="C496" s="36" t="s">
        <v>3</v>
      </c>
      <c r="D496" s="30"/>
      <c r="E496" s="31">
        <f t="shared" si="28"/>
        <v>22.881355932203391</v>
      </c>
      <c r="F496" s="38">
        <v>150</v>
      </c>
    </row>
    <row r="497" spans="2:6" ht="11.25">
      <c r="B497" s="35" t="s">
        <v>593</v>
      </c>
      <c r="C497" s="36" t="s">
        <v>3</v>
      </c>
      <c r="D497" s="30"/>
      <c r="E497" s="31">
        <f t="shared" si="28"/>
        <v>30.508474576271187</v>
      </c>
      <c r="F497" s="38">
        <v>200</v>
      </c>
    </row>
    <row r="498" spans="2:6" ht="11.25">
      <c r="B498" s="35" t="s">
        <v>594</v>
      </c>
      <c r="C498" s="36" t="s">
        <v>28</v>
      </c>
      <c r="D498" s="37">
        <f>+F498-E498</f>
        <v>112.79661016949152</v>
      </c>
      <c r="E498" s="31">
        <f t="shared" si="28"/>
        <v>20.303389830508475</v>
      </c>
      <c r="F498" s="38">
        <v>133.1</v>
      </c>
    </row>
    <row r="499" spans="2:6" ht="11.25">
      <c r="B499" s="35" t="s">
        <v>595</v>
      </c>
      <c r="C499" s="36" t="s">
        <v>28</v>
      </c>
      <c r="D499" s="30"/>
      <c r="E499" s="31">
        <f t="shared" si="28"/>
        <v>54.53389830508474</v>
      </c>
      <c r="F499" s="38">
        <v>357.5</v>
      </c>
    </row>
    <row r="500" spans="2:6" ht="11.25">
      <c r="B500" s="35" t="s">
        <v>596</v>
      </c>
      <c r="C500" s="36" t="s">
        <v>28</v>
      </c>
      <c r="D500" s="30"/>
      <c r="E500" s="31">
        <f t="shared" si="28"/>
        <v>31.271186440677965</v>
      </c>
      <c r="F500" s="38">
        <v>205</v>
      </c>
    </row>
    <row r="501" spans="2:6" ht="11.25">
      <c r="B501" s="35" t="s">
        <v>597</v>
      </c>
      <c r="C501" s="36" t="s">
        <v>28</v>
      </c>
      <c r="D501" s="30"/>
      <c r="E501" s="31">
        <f t="shared" si="28"/>
        <v>28.83050847457627</v>
      </c>
      <c r="F501" s="38">
        <v>189</v>
      </c>
    </row>
    <row r="502" spans="2:6" ht="11.25">
      <c r="B502" s="35" t="s">
        <v>598</v>
      </c>
      <c r="C502" s="36" t="s">
        <v>3</v>
      </c>
      <c r="D502" s="30"/>
      <c r="E502" s="31">
        <f t="shared" si="28"/>
        <v>29464.322033898308</v>
      </c>
      <c r="F502" s="38">
        <v>193155</v>
      </c>
    </row>
    <row r="503" spans="2:6" ht="11.25">
      <c r="B503" s="35"/>
      <c r="C503" s="36"/>
      <c r="D503" s="30"/>
      <c r="E503" s="31"/>
      <c r="F503" s="38"/>
    </row>
    <row r="504" spans="2:6" ht="11.25">
      <c r="B504" s="49" t="s">
        <v>599</v>
      </c>
      <c r="C504" s="36"/>
      <c r="D504" s="30"/>
      <c r="E504" s="31"/>
      <c r="F504" s="38"/>
    </row>
    <row r="505" spans="2:6" ht="11.25">
      <c r="B505" s="44" t="s">
        <v>600</v>
      </c>
      <c r="C505" s="36" t="s">
        <v>3</v>
      </c>
      <c r="D505" s="30"/>
      <c r="E505" s="31">
        <f t="shared" ref="E505:E553" si="29">+F505*0.18/1.18</f>
        <v>2272.8813559322034</v>
      </c>
      <c r="F505" s="38">
        <v>14900</v>
      </c>
    </row>
    <row r="506" spans="2:6" ht="11.25">
      <c r="B506" s="44" t="s">
        <v>601</v>
      </c>
      <c r="C506" s="36" t="s">
        <v>3</v>
      </c>
      <c r="D506" s="30"/>
      <c r="E506" s="31">
        <f t="shared" si="29"/>
        <v>2425.4237288135596</v>
      </c>
      <c r="F506" s="38">
        <v>15900</v>
      </c>
    </row>
    <row r="507" spans="2:6" ht="11.25">
      <c r="B507" s="44" t="s">
        <v>602</v>
      </c>
      <c r="C507" s="36" t="s">
        <v>3</v>
      </c>
      <c r="D507" s="30"/>
      <c r="E507" s="31">
        <f t="shared" si="29"/>
        <v>2425.4237288135596</v>
      </c>
      <c r="F507" s="38">
        <v>15900</v>
      </c>
    </row>
    <row r="508" spans="2:6" ht="11.25">
      <c r="B508" s="44" t="s">
        <v>603</v>
      </c>
      <c r="C508" s="36" t="s">
        <v>3</v>
      </c>
      <c r="D508" s="30"/>
      <c r="E508" s="31">
        <f t="shared" si="29"/>
        <v>1220.3389830508474</v>
      </c>
      <c r="F508" s="38">
        <v>8000</v>
      </c>
    </row>
    <row r="509" spans="2:6" ht="11.25">
      <c r="B509" s="44" t="s">
        <v>604</v>
      </c>
      <c r="C509" s="36" t="s">
        <v>3</v>
      </c>
      <c r="D509" s="30"/>
      <c r="E509" s="31">
        <f t="shared" si="29"/>
        <v>2577.9661016949153</v>
      </c>
      <c r="F509" s="38">
        <v>16900</v>
      </c>
    </row>
    <row r="510" spans="2:6" ht="11.25">
      <c r="B510" s="44" t="s">
        <v>605</v>
      </c>
      <c r="C510" s="36" t="s">
        <v>3</v>
      </c>
      <c r="D510" s="30"/>
      <c r="E510" s="31">
        <f t="shared" si="29"/>
        <v>2989.8305084745766</v>
      </c>
      <c r="F510" s="38">
        <v>19600</v>
      </c>
    </row>
    <row r="511" spans="2:6" ht="11.25">
      <c r="B511" s="44" t="s">
        <v>606</v>
      </c>
      <c r="C511" s="36" t="s">
        <v>3</v>
      </c>
      <c r="D511" s="30"/>
      <c r="E511" s="31">
        <f t="shared" si="29"/>
        <v>2593.2203389830511</v>
      </c>
      <c r="F511" s="38">
        <v>17000</v>
      </c>
    </row>
    <row r="512" spans="2:6" ht="11.25">
      <c r="B512" s="44" t="s">
        <v>607</v>
      </c>
      <c r="C512" s="36" t="s">
        <v>3</v>
      </c>
      <c r="D512" s="30"/>
      <c r="E512" s="31">
        <f t="shared" si="29"/>
        <v>3325.4237288135596</v>
      </c>
      <c r="F512" s="38">
        <v>21800</v>
      </c>
    </row>
    <row r="513" spans="2:6" ht="11.25">
      <c r="B513" s="44" t="s">
        <v>608</v>
      </c>
      <c r="C513" s="36" t="s">
        <v>3</v>
      </c>
      <c r="D513" s="30"/>
      <c r="E513" s="31">
        <f t="shared" si="29"/>
        <v>3325.4237288135596</v>
      </c>
      <c r="F513" s="38">
        <v>21800</v>
      </c>
    </row>
    <row r="514" spans="2:6" ht="11.25">
      <c r="B514" s="44" t="s">
        <v>609</v>
      </c>
      <c r="C514" s="36" t="s">
        <v>3</v>
      </c>
      <c r="D514" s="30"/>
      <c r="E514" s="31">
        <f t="shared" si="29"/>
        <v>4911.8644067796613</v>
      </c>
      <c r="F514" s="38">
        <v>32200</v>
      </c>
    </row>
    <row r="515" spans="2:6" ht="11.25">
      <c r="B515" s="44" t="s">
        <v>610</v>
      </c>
      <c r="C515" s="36" t="s">
        <v>3</v>
      </c>
      <c r="D515" s="30"/>
      <c r="E515" s="31">
        <f t="shared" si="29"/>
        <v>1098.3050847457628</v>
      </c>
      <c r="F515" s="38">
        <v>7200</v>
      </c>
    </row>
    <row r="516" spans="2:6" ht="11.25">
      <c r="B516" s="44" t="s">
        <v>611</v>
      </c>
      <c r="C516" s="36" t="s">
        <v>3</v>
      </c>
      <c r="D516" s="30"/>
      <c r="E516" s="31">
        <f t="shared" si="29"/>
        <v>1037.2881355932204</v>
      </c>
      <c r="F516" s="38">
        <v>6800</v>
      </c>
    </row>
    <row r="517" spans="2:6" ht="11.25">
      <c r="B517" s="44" t="s">
        <v>612</v>
      </c>
      <c r="C517" s="36" t="s">
        <v>3</v>
      </c>
      <c r="D517" s="30"/>
      <c r="E517" s="31">
        <f t="shared" si="29"/>
        <v>1037.2881355932204</v>
      </c>
      <c r="F517" s="38">
        <v>6800</v>
      </c>
    </row>
    <row r="518" spans="2:6" ht="11.25">
      <c r="B518" s="44" t="s">
        <v>613</v>
      </c>
      <c r="C518" s="36" t="s">
        <v>3</v>
      </c>
      <c r="D518" s="30"/>
      <c r="E518" s="31">
        <f t="shared" si="29"/>
        <v>930.50847457627128</v>
      </c>
      <c r="F518" s="38">
        <v>6100</v>
      </c>
    </row>
    <row r="519" spans="2:6" ht="11.25">
      <c r="B519" s="44" t="s">
        <v>614</v>
      </c>
      <c r="C519" s="36" t="s">
        <v>3</v>
      </c>
      <c r="D519" s="30"/>
      <c r="E519" s="31">
        <f t="shared" si="29"/>
        <v>930.50847457627128</v>
      </c>
      <c r="F519" s="38">
        <v>6100</v>
      </c>
    </row>
    <row r="520" spans="2:6" ht="13.5" customHeight="1">
      <c r="B520" s="44" t="s">
        <v>615</v>
      </c>
      <c r="C520" s="36" t="s">
        <v>3</v>
      </c>
      <c r="D520" s="30"/>
      <c r="E520" s="31">
        <f t="shared" si="29"/>
        <v>930.50847457627128</v>
      </c>
      <c r="F520" s="38">
        <v>6100</v>
      </c>
    </row>
    <row r="521" spans="2:6" ht="13.5" customHeight="1">
      <c r="B521" s="44" t="s">
        <v>616</v>
      </c>
      <c r="C521" s="36" t="s">
        <v>3</v>
      </c>
      <c r="D521" s="30"/>
      <c r="E521" s="31">
        <f t="shared" si="29"/>
        <v>457.62711864406782</v>
      </c>
      <c r="F521" s="38">
        <v>3000</v>
      </c>
    </row>
    <row r="522" spans="2:6" ht="10.9" customHeight="1">
      <c r="B522" s="44" t="s">
        <v>617</v>
      </c>
      <c r="C522" s="36" t="s">
        <v>3</v>
      </c>
      <c r="D522" s="30"/>
      <c r="E522" s="31">
        <f t="shared" si="29"/>
        <v>564.40677966101703</v>
      </c>
      <c r="F522" s="38">
        <v>3700</v>
      </c>
    </row>
    <row r="523" spans="2:6" ht="13.5" customHeight="1">
      <c r="B523" s="44" t="s">
        <v>618</v>
      </c>
      <c r="C523" s="36" t="s">
        <v>3</v>
      </c>
      <c r="D523" s="30"/>
      <c r="E523" s="31">
        <f t="shared" si="29"/>
        <v>244.06779661016949</v>
      </c>
      <c r="F523" s="38">
        <v>1600</v>
      </c>
    </row>
    <row r="524" spans="2:6" ht="13.5" customHeight="1">
      <c r="B524" s="44" t="s">
        <v>619</v>
      </c>
      <c r="C524" s="36" t="s">
        <v>3</v>
      </c>
      <c r="D524" s="30"/>
      <c r="E524" s="31">
        <f t="shared" si="29"/>
        <v>305.08474576271186</v>
      </c>
      <c r="F524" s="38">
        <v>2000</v>
      </c>
    </row>
    <row r="525" spans="2:6" ht="13.5" customHeight="1">
      <c r="B525" s="44" t="s">
        <v>620</v>
      </c>
      <c r="C525" s="36" t="s">
        <v>3</v>
      </c>
      <c r="D525" s="30"/>
      <c r="E525" s="31">
        <f t="shared" si="29"/>
        <v>456.1016949152542</v>
      </c>
      <c r="F525" s="38">
        <v>2990</v>
      </c>
    </row>
    <row r="526" spans="2:6" ht="13.5" customHeight="1">
      <c r="B526" s="44" t="s">
        <v>621</v>
      </c>
      <c r="C526" s="36" t="s">
        <v>3</v>
      </c>
      <c r="D526" s="30"/>
      <c r="E526" s="31">
        <f t="shared" si="29"/>
        <v>579.66101694915255</v>
      </c>
      <c r="F526" s="38">
        <v>3800</v>
      </c>
    </row>
    <row r="527" spans="2:6" ht="13.5" customHeight="1">
      <c r="B527" s="44" t="s">
        <v>622</v>
      </c>
      <c r="C527" s="36" t="s">
        <v>3</v>
      </c>
      <c r="D527" s="30"/>
      <c r="E527" s="31">
        <f t="shared" si="29"/>
        <v>1080</v>
      </c>
      <c r="F527" s="38">
        <v>7080</v>
      </c>
    </row>
    <row r="528" spans="2:6" ht="13.5" customHeight="1">
      <c r="B528" s="44" t="s">
        <v>623</v>
      </c>
      <c r="C528" s="36" t="s">
        <v>3</v>
      </c>
      <c r="D528" s="30"/>
      <c r="E528" s="31">
        <f t="shared" si="29"/>
        <v>1303.3220338983051</v>
      </c>
      <c r="F528" s="38">
        <v>8544</v>
      </c>
    </row>
    <row r="529" spans="2:6" ht="13.5" customHeight="1">
      <c r="B529" s="44" t="s">
        <v>624</v>
      </c>
      <c r="C529" s="36" t="s">
        <v>3</v>
      </c>
      <c r="D529" s="30"/>
      <c r="E529" s="31">
        <f t="shared" si="29"/>
        <v>1955.593220338983</v>
      </c>
      <c r="F529" s="38">
        <v>12820</v>
      </c>
    </row>
    <row r="530" spans="2:6" ht="13.5" customHeight="1">
      <c r="B530" s="44" t="s">
        <v>625</v>
      </c>
      <c r="C530" s="36" t="s">
        <v>3</v>
      </c>
      <c r="D530" s="30"/>
      <c r="E530" s="31">
        <f t="shared" si="29"/>
        <v>1371.6610169491526</v>
      </c>
      <c r="F530" s="38">
        <v>8992</v>
      </c>
    </row>
    <row r="531" spans="2:6" ht="13.5" customHeight="1">
      <c r="B531" s="44" t="s">
        <v>626</v>
      </c>
      <c r="C531" s="36" t="s">
        <v>3</v>
      </c>
      <c r="D531" s="30"/>
      <c r="E531" s="31">
        <f t="shared" si="29"/>
        <v>2051.3898305084745</v>
      </c>
      <c r="F531" s="38">
        <v>13448</v>
      </c>
    </row>
    <row r="532" spans="2:6" ht="11.25">
      <c r="B532" s="44" t="s">
        <v>627</v>
      </c>
      <c r="C532" s="36" t="s">
        <v>3</v>
      </c>
      <c r="D532" s="30"/>
      <c r="E532" s="31">
        <f t="shared" si="29"/>
        <v>3086.3898305084749</v>
      </c>
      <c r="F532" s="38">
        <v>20233</v>
      </c>
    </row>
    <row r="533" spans="2:6" ht="11.25">
      <c r="B533" s="44" t="s">
        <v>628</v>
      </c>
      <c r="C533" s="36" t="s">
        <v>3</v>
      </c>
      <c r="D533" s="30"/>
      <c r="E533" s="31">
        <f t="shared" si="29"/>
        <v>1737.7627118644068</v>
      </c>
      <c r="F533" s="38">
        <v>11392</v>
      </c>
    </row>
    <row r="534" spans="2:6" ht="11.25">
      <c r="B534" s="44" t="s">
        <v>629</v>
      </c>
      <c r="C534" s="36" t="s">
        <v>3</v>
      </c>
      <c r="D534" s="30"/>
      <c r="E534" s="31">
        <f t="shared" si="29"/>
        <v>2608.4745762711864</v>
      </c>
      <c r="F534" s="38">
        <v>17100</v>
      </c>
    </row>
    <row r="535" spans="2:6" ht="11.25">
      <c r="B535" s="44" t="s">
        <v>630</v>
      </c>
      <c r="C535" s="36" t="s">
        <v>3</v>
      </c>
      <c r="D535" s="30"/>
      <c r="E535" s="31">
        <f t="shared" si="29"/>
        <v>3912.71186440678</v>
      </c>
      <c r="F535" s="38">
        <v>25650</v>
      </c>
    </row>
    <row r="536" spans="2:6" ht="11.25">
      <c r="B536" s="44" t="s">
        <v>631</v>
      </c>
      <c r="C536" s="36" t="s">
        <v>3</v>
      </c>
      <c r="D536" s="30"/>
      <c r="E536" s="31">
        <f t="shared" si="29"/>
        <v>6925.42372881356</v>
      </c>
      <c r="F536" s="38">
        <v>45400</v>
      </c>
    </row>
    <row r="537" spans="2:6" ht="11.25">
      <c r="B537" s="44" t="s">
        <v>632</v>
      </c>
      <c r="C537" s="36" t="s">
        <v>3</v>
      </c>
      <c r="D537" s="30"/>
      <c r="E537" s="31">
        <f t="shared" si="29"/>
        <v>2745.7627118644068</v>
      </c>
      <c r="F537" s="38">
        <v>18000</v>
      </c>
    </row>
    <row r="538" spans="2:6" ht="11.25">
      <c r="B538" s="44" t="s">
        <v>633</v>
      </c>
      <c r="C538" s="36" t="s">
        <v>3</v>
      </c>
      <c r="D538" s="30"/>
      <c r="E538" s="31">
        <f t="shared" si="29"/>
        <v>3493.2203389830511</v>
      </c>
      <c r="F538" s="38">
        <v>22900</v>
      </c>
    </row>
    <row r="539" spans="2:6" ht="11.25">
      <c r="B539" s="44" t="s">
        <v>634</v>
      </c>
      <c r="C539" s="36" t="s">
        <v>3</v>
      </c>
      <c r="D539" s="30"/>
      <c r="E539" s="31">
        <f t="shared" si="29"/>
        <v>579.66101694915255</v>
      </c>
      <c r="F539" s="38">
        <v>3800</v>
      </c>
    </row>
    <row r="540" spans="2:6" ht="11.25">
      <c r="B540" s="44" t="s">
        <v>635</v>
      </c>
      <c r="C540" s="36" t="s">
        <v>3</v>
      </c>
      <c r="D540" s="30"/>
      <c r="E540" s="31">
        <f t="shared" si="29"/>
        <v>579.66101694915255</v>
      </c>
      <c r="F540" s="38">
        <v>3800</v>
      </c>
    </row>
    <row r="541" spans="2:6" ht="11.25">
      <c r="B541" s="44" t="s">
        <v>636</v>
      </c>
      <c r="C541" s="36" t="s">
        <v>3</v>
      </c>
      <c r="D541" s="30"/>
      <c r="E541" s="31">
        <f t="shared" si="29"/>
        <v>579.66101694915255</v>
      </c>
      <c r="F541" s="38">
        <v>3800</v>
      </c>
    </row>
    <row r="542" spans="2:6" ht="11.25">
      <c r="B542" s="44" t="s">
        <v>637</v>
      </c>
      <c r="C542" s="36" t="s">
        <v>3</v>
      </c>
      <c r="D542" s="30"/>
      <c r="E542" s="31">
        <f t="shared" si="29"/>
        <v>91.525423728813564</v>
      </c>
      <c r="F542" s="38">
        <v>600</v>
      </c>
    </row>
    <row r="543" spans="2:6" ht="11.25">
      <c r="B543" s="44" t="s">
        <v>638</v>
      </c>
      <c r="C543" s="36" t="s">
        <v>3</v>
      </c>
      <c r="D543" s="30"/>
      <c r="E543" s="31">
        <f t="shared" si="29"/>
        <v>91.525423728813564</v>
      </c>
      <c r="F543" s="38">
        <v>600</v>
      </c>
    </row>
    <row r="544" spans="2:6" ht="11.25">
      <c r="B544" s="44" t="s">
        <v>639</v>
      </c>
      <c r="C544" s="36" t="s">
        <v>3</v>
      </c>
      <c r="D544" s="30"/>
      <c r="E544" s="31">
        <f t="shared" si="29"/>
        <v>91.525423728813564</v>
      </c>
      <c r="F544" s="38">
        <v>600</v>
      </c>
    </row>
    <row r="545" spans="2:6" ht="10.5" customHeight="1">
      <c r="B545" s="44" t="s">
        <v>640</v>
      </c>
      <c r="C545" s="36" t="s">
        <v>3</v>
      </c>
      <c r="D545" s="30"/>
      <c r="E545" s="31">
        <f t="shared" si="29"/>
        <v>95.33898305084746</v>
      </c>
      <c r="F545" s="38">
        <v>625</v>
      </c>
    </row>
    <row r="546" spans="2:6" ht="11.25">
      <c r="B546" s="44" t="s">
        <v>641</v>
      </c>
      <c r="C546" s="36" t="s">
        <v>3</v>
      </c>
      <c r="D546" s="30"/>
      <c r="E546" s="31">
        <f t="shared" si="29"/>
        <v>95.33898305084746</v>
      </c>
      <c r="F546" s="38">
        <v>625</v>
      </c>
    </row>
    <row r="547" spans="2:6" ht="11.25">
      <c r="B547" s="44" t="s">
        <v>642</v>
      </c>
      <c r="C547" s="36" t="s">
        <v>3</v>
      </c>
      <c r="D547" s="30"/>
      <c r="E547" s="31">
        <f t="shared" si="29"/>
        <v>95.33898305084746</v>
      </c>
      <c r="F547" s="38">
        <v>625</v>
      </c>
    </row>
    <row r="548" spans="2:6" ht="11.25">
      <c r="B548" s="44" t="s">
        <v>643</v>
      </c>
      <c r="C548" s="36" t="s">
        <v>3</v>
      </c>
      <c r="D548" s="30"/>
      <c r="E548" s="31">
        <f t="shared" si="29"/>
        <v>68.644067796610173</v>
      </c>
      <c r="F548" s="38">
        <v>450</v>
      </c>
    </row>
    <row r="549" spans="2:6" ht="11.25">
      <c r="B549" s="44" t="s">
        <v>644</v>
      </c>
      <c r="C549" s="36" t="s">
        <v>3</v>
      </c>
      <c r="D549" s="30"/>
      <c r="E549" s="31">
        <f t="shared" si="29"/>
        <v>68.644067796610173</v>
      </c>
      <c r="F549" s="38">
        <v>450</v>
      </c>
    </row>
    <row r="550" spans="2:6" ht="11.25">
      <c r="B550" s="44" t="s">
        <v>645</v>
      </c>
      <c r="C550" s="36" t="s">
        <v>3</v>
      </c>
      <c r="D550" s="30"/>
      <c r="E550" s="31">
        <f t="shared" si="29"/>
        <v>68.644067796610173</v>
      </c>
      <c r="F550" s="38">
        <v>450</v>
      </c>
    </row>
    <row r="551" spans="2:6" ht="11.25">
      <c r="B551" s="44" t="s">
        <v>646</v>
      </c>
      <c r="C551" s="36" t="s">
        <v>3</v>
      </c>
      <c r="D551" s="30"/>
      <c r="E551" s="31">
        <f t="shared" si="29"/>
        <v>68.644067796610173</v>
      </c>
      <c r="F551" s="38">
        <v>450</v>
      </c>
    </row>
    <row r="552" spans="2:6" ht="11.25">
      <c r="B552" s="44" t="s">
        <v>647</v>
      </c>
      <c r="C552" s="36" t="s">
        <v>3</v>
      </c>
      <c r="D552" s="30"/>
      <c r="E552" s="31">
        <f t="shared" si="29"/>
        <v>68.644067796610173</v>
      </c>
      <c r="F552" s="38">
        <v>450</v>
      </c>
    </row>
    <row r="553" spans="2:6" ht="11.25">
      <c r="B553" s="44" t="s">
        <v>648</v>
      </c>
      <c r="C553" s="36" t="s">
        <v>3</v>
      </c>
      <c r="D553" s="30"/>
      <c r="E553" s="31">
        <f t="shared" si="29"/>
        <v>68.644067796610173</v>
      </c>
      <c r="F553" s="38">
        <v>450</v>
      </c>
    </row>
    <row r="554" spans="2:6" ht="11.25">
      <c r="B554" s="35"/>
      <c r="C554" s="36"/>
      <c r="D554" s="30"/>
      <c r="E554" s="31"/>
      <c r="F554" s="38"/>
    </row>
    <row r="555" spans="2:6" ht="11.25">
      <c r="B555" s="32" t="s">
        <v>649</v>
      </c>
      <c r="C555" s="36"/>
      <c r="D555" s="30"/>
      <c r="E555" s="31"/>
    </row>
    <row r="556" spans="2:6" ht="11.25">
      <c r="B556" s="35" t="s">
        <v>650</v>
      </c>
      <c r="C556" s="36" t="s">
        <v>3</v>
      </c>
      <c r="D556" s="30"/>
      <c r="E556" s="31">
        <f t="shared" ref="E556:E566" si="30">+F556*0.18/1.18</f>
        <v>0.14491525423728813</v>
      </c>
      <c r="F556" s="38">
        <v>0.95</v>
      </c>
    </row>
    <row r="557" spans="2:6" ht="11.25">
      <c r="B557" s="35" t="s">
        <v>651</v>
      </c>
      <c r="C557" s="36" t="s">
        <v>3</v>
      </c>
      <c r="D557" s="30"/>
      <c r="E557" s="31">
        <f t="shared" si="30"/>
        <v>0.38135593220338981</v>
      </c>
      <c r="F557" s="38">
        <v>2.5</v>
      </c>
    </row>
    <row r="558" spans="2:6" ht="11.25">
      <c r="B558" s="35" t="s">
        <v>652</v>
      </c>
      <c r="C558" s="36" t="s">
        <v>3</v>
      </c>
      <c r="D558" s="30"/>
      <c r="E558" s="31">
        <f t="shared" si="30"/>
        <v>0.38135593220338981</v>
      </c>
      <c r="F558" s="38">
        <v>2.5</v>
      </c>
    </row>
    <row r="559" spans="2:6" ht="11.25">
      <c r="B559" s="35" t="s">
        <v>653</v>
      </c>
      <c r="C559" s="36" t="s">
        <v>3</v>
      </c>
      <c r="D559" s="30"/>
      <c r="E559" s="31">
        <f t="shared" si="30"/>
        <v>0.41949152542372881</v>
      </c>
      <c r="F559" s="38">
        <v>2.75</v>
      </c>
    </row>
    <row r="560" spans="2:6" ht="11.25">
      <c r="B560" s="35" t="s">
        <v>654</v>
      </c>
      <c r="C560" s="36" t="s">
        <v>3</v>
      </c>
      <c r="D560" s="30"/>
      <c r="E560" s="31">
        <f t="shared" si="30"/>
        <v>0.47288135593220337</v>
      </c>
      <c r="F560" s="38">
        <v>3.1</v>
      </c>
    </row>
    <row r="561" spans="2:6" ht="11.25">
      <c r="B561" s="35" t="s">
        <v>655</v>
      </c>
      <c r="C561" s="36" t="s">
        <v>3</v>
      </c>
      <c r="D561" s="30"/>
      <c r="E561" s="31">
        <f t="shared" si="30"/>
        <v>9.152542372881356E-2</v>
      </c>
      <c r="F561" s="38">
        <v>0.6</v>
      </c>
    </row>
    <row r="562" spans="2:6" ht="11.25">
      <c r="B562" s="35" t="s">
        <v>656</v>
      </c>
      <c r="C562" s="36" t="s">
        <v>3</v>
      </c>
      <c r="D562" s="30"/>
      <c r="E562" s="31">
        <f t="shared" si="30"/>
        <v>0.12966101694915255</v>
      </c>
      <c r="F562" s="38">
        <v>0.85</v>
      </c>
    </row>
    <row r="563" spans="2:6" ht="11.25">
      <c r="B563" s="35" t="s">
        <v>657</v>
      </c>
      <c r="C563" s="36" t="s">
        <v>3</v>
      </c>
      <c r="D563" s="30"/>
      <c r="E563" s="31">
        <f t="shared" si="30"/>
        <v>0.22881355932203393</v>
      </c>
      <c r="F563" s="38">
        <v>1.5</v>
      </c>
    </row>
    <row r="564" spans="2:6" ht="11.25">
      <c r="B564" s="35" t="s">
        <v>658</v>
      </c>
      <c r="C564" s="36" t="s">
        <v>3</v>
      </c>
      <c r="D564" s="30"/>
      <c r="E564" s="31">
        <f t="shared" si="30"/>
        <v>0.30508474576271188</v>
      </c>
      <c r="F564" s="38">
        <v>2</v>
      </c>
    </row>
    <row r="565" spans="2:6" ht="11.25">
      <c r="B565" s="35" t="s">
        <v>659</v>
      </c>
      <c r="C565" s="36" t="s">
        <v>3</v>
      </c>
      <c r="D565" s="30"/>
      <c r="E565" s="31">
        <f t="shared" si="30"/>
        <v>0.34322033898305082</v>
      </c>
      <c r="F565" s="38">
        <v>2.25</v>
      </c>
    </row>
    <row r="566" spans="2:6" ht="11.25">
      <c r="B566" s="44" t="s">
        <v>660</v>
      </c>
      <c r="C566" s="36" t="s">
        <v>3</v>
      </c>
      <c r="D566" s="30"/>
      <c r="E566" s="31">
        <f t="shared" si="30"/>
        <v>0.68644067796610164</v>
      </c>
      <c r="F566" s="38">
        <v>4.5</v>
      </c>
    </row>
    <row r="567" spans="2:6" ht="11.25">
      <c r="B567" s="35"/>
      <c r="C567" s="36"/>
      <c r="D567" s="30"/>
      <c r="E567" s="31"/>
      <c r="F567" s="38"/>
    </row>
    <row r="568" spans="2:6" ht="11.25">
      <c r="B568" s="32" t="s">
        <v>661</v>
      </c>
      <c r="C568" s="36"/>
      <c r="D568" s="30"/>
      <c r="E568" s="31"/>
    </row>
    <row r="569" spans="2:6" ht="11.25">
      <c r="B569" s="35" t="s">
        <v>662</v>
      </c>
      <c r="C569" s="36" t="s">
        <v>28</v>
      </c>
      <c r="D569" s="30"/>
      <c r="E569" s="31">
        <f t="shared" ref="E569:E586" si="31">+F569*0.18/1.18</f>
        <v>0.64067796610169492</v>
      </c>
      <c r="F569" s="38">
        <v>4.2</v>
      </c>
    </row>
    <row r="570" spans="2:6" ht="11.25">
      <c r="B570" s="35" t="s">
        <v>663</v>
      </c>
      <c r="C570" s="36" t="s">
        <v>28</v>
      </c>
      <c r="D570" s="30"/>
      <c r="E570" s="31">
        <f t="shared" si="31"/>
        <v>1.0677966101694916</v>
      </c>
      <c r="F570" s="38">
        <v>7</v>
      </c>
    </row>
    <row r="571" spans="2:6" ht="11.25">
      <c r="B571" s="35" t="s">
        <v>664</v>
      </c>
      <c r="C571" s="36" t="s">
        <v>28</v>
      </c>
      <c r="D571" s="30"/>
      <c r="E571" s="31">
        <f t="shared" si="31"/>
        <v>1.388135593220339</v>
      </c>
      <c r="F571" s="38">
        <v>9.1</v>
      </c>
    </row>
    <row r="572" spans="2:6" ht="11.25">
      <c r="B572" s="35" t="s">
        <v>665</v>
      </c>
      <c r="C572" s="36" t="s">
        <v>28</v>
      </c>
      <c r="D572" s="30"/>
      <c r="E572" s="31">
        <f t="shared" si="31"/>
        <v>1.5162711864406779</v>
      </c>
      <c r="F572" s="38">
        <v>9.94</v>
      </c>
    </row>
    <row r="573" spans="2:6" ht="11.25">
      <c r="B573" s="35" t="s">
        <v>666</v>
      </c>
      <c r="C573" s="36" t="s">
        <v>28</v>
      </c>
      <c r="D573" s="30"/>
      <c r="E573" s="31">
        <f t="shared" si="31"/>
        <v>2.1615254237288135</v>
      </c>
      <c r="F573" s="38">
        <v>14.17</v>
      </c>
    </row>
    <row r="574" spans="2:6" ht="11.25">
      <c r="B574" s="35" t="s">
        <v>667</v>
      </c>
      <c r="C574" s="36" t="s">
        <v>28</v>
      </c>
      <c r="D574" s="30"/>
      <c r="E574" s="31">
        <f t="shared" si="31"/>
        <v>2.7762711864406779</v>
      </c>
      <c r="F574" s="38">
        <v>18.2</v>
      </c>
    </row>
    <row r="575" spans="2:6" ht="11.25">
      <c r="B575" s="35" t="s">
        <v>668</v>
      </c>
      <c r="C575" s="36" t="s">
        <v>28</v>
      </c>
      <c r="D575" s="30"/>
      <c r="E575" s="31">
        <f t="shared" si="31"/>
        <v>4.2925423728813561</v>
      </c>
      <c r="F575" s="38">
        <v>28.14</v>
      </c>
    </row>
    <row r="576" spans="2:6" ht="11.25">
      <c r="B576" s="35" t="s">
        <v>669</v>
      </c>
      <c r="C576" s="36" t="s">
        <v>28</v>
      </c>
      <c r="D576" s="30"/>
      <c r="E576" s="31">
        <f t="shared" si="31"/>
        <v>6.5196610169491533</v>
      </c>
      <c r="F576" s="38">
        <v>42.74</v>
      </c>
    </row>
    <row r="577" spans="2:6" ht="11.25">
      <c r="B577" s="35" t="s">
        <v>670</v>
      </c>
      <c r="C577" s="36" t="s">
        <v>28</v>
      </c>
      <c r="D577" s="30"/>
      <c r="E577" s="31">
        <f t="shared" si="31"/>
        <v>7.3311864406779668</v>
      </c>
      <c r="F577" s="38">
        <v>48.06</v>
      </c>
    </row>
    <row r="578" spans="2:6" ht="11.25">
      <c r="B578" s="35" t="s">
        <v>671</v>
      </c>
      <c r="C578" s="36" t="s">
        <v>28</v>
      </c>
      <c r="D578" s="30"/>
      <c r="E578" s="31">
        <f t="shared" si="31"/>
        <v>0.72</v>
      </c>
      <c r="F578" s="38">
        <v>4.72</v>
      </c>
    </row>
    <row r="579" spans="2:6" ht="11.25">
      <c r="B579" s="35" t="s">
        <v>672</v>
      </c>
      <c r="C579" s="36" t="s">
        <v>28</v>
      </c>
      <c r="D579" s="30"/>
      <c r="E579" s="31">
        <f t="shared" si="31"/>
        <v>0.65898305084745767</v>
      </c>
      <c r="F579" s="38">
        <v>4.32</v>
      </c>
    </row>
    <row r="580" spans="2:6" ht="11.25">
      <c r="B580" s="35" t="s">
        <v>673</v>
      </c>
      <c r="C580" s="36" t="s">
        <v>28</v>
      </c>
      <c r="D580" s="30"/>
      <c r="E580" s="31">
        <f t="shared" si="31"/>
        <v>1.0677966101694916</v>
      </c>
      <c r="F580" s="38">
        <v>7</v>
      </c>
    </row>
    <row r="581" spans="2:6" ht="11.25">
      <c r="B581" s="35" t="s">
        <v>674</v>
      </c>
      <c r="C581" s="36" t="s">
        <v>28</v>
      </c>
      <c r="D581" s="30"/>
      <c r="E581" s="31">
        <f t="shared" si="31"/>
        <v>1.3728813559322033</v>
      </c>
      <c r="F581" s="38">
        <v>9</v>
      </c>
    </row>
    <row r="582" spans="2:6" ht="11.25">
      <c r="B582" s="35" t="s">
        <v>675</v>
      </c>
      <c r="C582" s="36" t="s">
        <v>28</v>
      </c>
      <c r="D582" s="30"/>
      <c r="E582" s="31">
        <f t="shared" si="31"/>
        <v>2.1355932203389831</v>
      </c>
      <c r="F582" s="38">
        <v>14</v>
      </c>
    </row>
    <row r="583" spans="2:6" ht="11.25">
      <c r="B583" s="35" t="s">
        <v>676</v>
      </c>
      <c r="C583" s="36" t="s">
        <v>28</v>
      </c>
      <c r="D583" s="30"/>
      <c r="E583" s="31">
        <f t="shared" si="31"/>
        <v>3.2033898305084745</v>
      </c>
      <c r="F583" s="38">
        <v>21</v>
      </c>
    </row>
    <row r="584" spans="2:6" ht="11.25">
      <c r="B584" s="35" t="s">
        <v>677</v>
      </c>
      <c r="C584" s="36" t="s">
        <v>28</v>
      </c>
      <c r="D584" s="30"/>
      <c r="E584" s="31">
        <f t="shared" si="31"/>
        <v>4.2711864406779663</v>
      </c>
      <c r="F584" s="38">
        <v>28</v>
      </c>
    </row>
    <row r="585" spans="2:6" ht="11.25">
      <c r="B585" s="35" t="s">
        <v>678</v>
      </c>
      <c r="C585" s="36" t="s">
        <v>28</v>
      </c>
      <c r="D585" s="30"/>
      <c r="E585" s="31">
        <f t="shared" si="31"/>
        <v>6.406779661016949</v>
      </c>
      <c r="F585" s="38">
        <v>42</v>
      </c>
    </row>
    <row r="586" spans="2:6" ht="11.25">
      <c r="B586" s="35" t="s">
        <v>679</v>
      </c>
      <c r="C586" s="36" t="s">
        <v>28</v>
      </c>
      <c r="D586" s="30"/>
      <c r="E586" s="31">
        <f t="shared" si="31"/>
        <v>6.406779661016949</v>
      </c>
      <c r="F586" s="38">
        <v>42</v>
      </c>
    </row>
    <row r="587" spans="2:6" ht="11.25">
      <c r="B587" s="35"/>
      <c r="C587" s="36"/>
      <c r="D587" s="30"/>
      <c r="E587" s="31"/>
      <c r="F587" s="38"/>
    </row>
    <row r="588" spans="2:6" ht="11.25">
      <c r="B588" s="32" t="s">
        <v>680</v>
      </c>
      <c r="C588" s="36"/>
      <c r="D588" s="30"/>
      <c r="E588" s="31"/>
    </row>
    <row r="589" spans="2:6" ht="11.25">
      <c r="B589" s="35" t="s">
        <v>681</v>
      </c>
      <c r="C589" s="36" t="s">
        <v>9</v>
      </c>
      <c r="D589" s="30"/>
      <c r="E589" s="31">
        <f t="shared" ref="E589:E595" si="32">+F589*0.18/1.18</f>
        <v>64.830508474576277</v>
      </c>
      <c r="F589" s="38">
        <v>425</v>
      </c>
    </row>
    <row r="590" spans="2:6" ht="11.25">
      <c r="B590" s="35" t="s">
        <v>682</v>
      </c>
      <c r="C590" s="36" t="s">
        <v>9</v>
      </c>
      <c r="D590" s="30"/>
      <c r="E590" s="31">
        <f t="shared" si="32"/>
        <v>68.644067796610173</v>
      </c>
      <c r="F590" s="38">
        <v>450</v>
      </c>
    </row>
    <row r="591" spans="2:6" ht="11.25">
      <c r="B591" s="35" t="s">
        <v>683</v>
      </c>
      <c r="C591" s="36" t="s">
        <v>9</v>
      </c>
      <c r="D591" s="30"/>
      <c r="E591" s="31">
        <f t="shared" si="32"/>
        <v>356.94915254237287</v>
      </c>
      <c r="F591" s="38">
        <v>2340</v>
      </c>
    </row>
    <row r="592" spans="2:6" ht="11.25">
      <c r="B592" s="35" t="s">
        <v>684</v>
      </c>
      <c r="C592" s="36" t="s">
        <v>14</v>
      </c>
      <c r="D592" s="30"/>
      <c r="E592" s="31">
        <f t="shared" si="32"/>
        <v>72</v>
      </c>
      <c r="F592" s="38">
        <v>472</v>
      </c>
    </row>
    <row r="593" spans="2:6" ht="11.25">
      <c r="B593" s="35" t="s">
        <v>685</v>
      </c>
      <c r="C593" s="36" t="s">
        <v>3</v>
      </c>
      <c r="D593" s="30"/>
      <c r="E593" s="31">
        <f t="shared" si="32"/>
        <v>69.406779661016941</v>
      </c>
      <c r="F593" s="38">
        <v>455</v>
      </c>
    </row>
    <row r="594" spans="2:6" ht="11.25">
      <c r="B594" s="35" t="s">
        <v>686</v>
      </c>
      <c r="C594" s="36" t="s">
        <v>3</v>
      </c>
      <c r="D594" s="30"/>
      <c r="E594" s="31">
        <f t="shared" si="32"/>
        <v>110.59322033898306</v>
      </c>
      <c r="F594" s="38">
        <v>725</v>
      </c>
    </row>
    <row r="595" spans="2:6" ht="11.25">
      <c r="B595" s="35" t="s">
        <v>687</v>
      </c>
      <c r="C595" s="36" t="s">
        <v>14</v>
      </c>
      <c r="D595" s="30"/>
      <c r="E595" s="31">
        <f t="shared" si="32"/>
        <v>23.64406779661017</v>
      </c>
      <c r="F595" s="38">
        <v>155</v>
      </c>
    </row>
    <row r="596" spans="2:6" ht="11.25">
      <c r="B596" s="35"/>
      <c r="C596" s="36"/>
      <c r="D596" s="30"/>
      <c r="E596" s="31"/>
    </row>
    <row r="597" spans="2:6" ht="11.25">
      <c r="B597" s="50" t="s">
        <v>688</v>
      </c>
      <c r="C597" s="36"/>
      <c r="D597" s="30"/>
      <c r="E597" s="31"/>
    </row>
    <row r="598" spans="2:6" ht="11.25">
      <c r="B598" s="35" t="s">
        <v>689</v>
      </c>
      <c r="C598" s="36" t="s">
        <v>3</v>
      </c>
      <c r="D598" s="30"/>
      <c r="E598" s="31">
        <f t="shared" ref="E598:E609" si="33">+F598*0.18/1.18</f>
        <v>99.457627118644069</v>
      </c>
      <c r="F598" s="38">
        <v>652</v>
      </c>
    </row>
    <row r="599" spans="2:6" ht="11.25">
      <c r="B599" s="35" t="s">
        <v>690</v>
      </c>
      <c r="C599" s="36" t="s">
        <v>3</v>
      </c>
      <c r="D599" s="30"/>
      <c r="E599" s="31">
        <f t="shared" si="33"/>
        <v>153</v>
      </c>
      <c r="F599" s="38">
        <v>1003</v>
      </c>
    </row>
    <row r="600" spans="2:6" ht="11.25">
      <c r="B600" s="35" t="s">
        <v>691</v>
      </c>
      <c r="C600" s="36" t="s">
        <v>3</v>
      </c>
      <c r="D600" s="30"/>
      <c r="E600" s="31">
        <f t="shared" si="33"/>
        <v>176.40000000000003</v>
      </c>
      <c r="F600" s="38">
        <v>1156.4000000000001</v>
      </c>
    </row>
    <row r="601" spans="2:6" ht="11.25">
      <c r="B601" s="35" t="s">
        <v>692</v>
      </c>
      <c r="C601" s="36" t="s">
        <v>3</v>
      </c>
      <c r="D601" s="30"/>
      <c r="E601" s="31">
        <f t="shared" si="33"/>
        <v>261</v>
      </c>
      <c r="F601" s="38">
        <v>1711</v>
      </c>
    </row>
    <row r="602" spans="2:6" ht="11.25">
      <c r="B602" s="35" t="s">
        <v>693</v>
      </c>
      <c r="C602" s="36" t="s">
        <v>3</v>
      </c>
      <c r="D602" s="30"/>
      <c r="E602" s="31">
        <f t="shared" si="33"/>
        <v>315</v>
      </c>
      <c r="F602" s="38">
        <v>2065</v>
      </c>
    </row>
    <row r="603" spans="2:6" ht="11.25">
      <c r="B603" s="35" t="s">
        <v>694</v>
      </c>
      <c r="C603" s="36" t="s">
        <v>3</v>
      </c>
      <c r="D603" s="30"/>
      <c r="E603" s="31">
        <f t="shared" si="33"/>
        <v>396</v>
      </c>
      <c r="F603" s="38">
        <v>2596</v>
      </c>
    </row>
    <row r="604" spans="2:6" ht="11.25">
      <c r="B604" s="35" t="s">
        <v>695</v>
      </c>
      <c r="C604" s="36" t="s">
        <v>3</v>
      </c>
      <c r="D604" s="30"/>
      <c r="E604" s="31">
        <f t="shared" si="33"/>
        <v>504.00000000000006</v>
      </c>
      <c r="F604" s="38">
        <v>3304</v>
      </c>
    </row>
    <row r="605" spans="2:6" ht="11.25">
      <c r="B605" s="35" t="s">
        <v>696</v>
      </c>
      <c r="C605" s="36" t="s">
        <v>3</v>
      </c>
      <c r="D605" s="30"/>
      <c r="E605" s="31">
        <f t="shared" si="33"/>
        <v>702</v>
      </c>
      <c r="F605" s="38">
        <v>4602</v>
      </c>
    </row>
    <row r="606" spans="2:6" ht="11.25">
      <c r="B606" s="35" t="s">
        <v>697</v>
      </c>
      <c r="C606" s="36" t="s">
        <v>3</v>
      </c>
      <c r="D606" s="30"/>
      <c r="E606" s="31">
        <f t="shared" si="33"/>
        <v>936.00000000000011</v>
      </c>
      <c r="F606" s="38">
        <v>6136</v>
      </c>
    </row>
    <row r="607" spans="2:6" ht="11.25">
      <c r="B607" s="35" t="s">
        <v>698</v>
      </c>
      <c r="C607" s="36" t="s">
        <v>3</v>
      </c>
      <c r="D607" s="30"/>
      <c r="E607" s="31">
        <f t="shared" si="33"/>
        <v>1188</v>
      </c>
      <c r="F607" s="38">
        <v>7788</v>
      </c>
    </row>
    <row r="608" spans="2:6" ht="11.25">
      <c r="B608" s="35" t="s">
        <v>699</v>
      </c>
      <c r="C608" s="36" t="s">
        <v>3</v>
      </c>
      <c r="D608" s="30"/>
      <c r="E608" s="31">
        <f t="shared" si="33"/>
        <v>2160</v>
      </c>
      <c r="F608" s="38">
        <v>14160</v>
      </c>
    </row>
    <row r="609" spans="2:6" ht="11.25">
      <c r="B609" s="35" t="s">
        <v>700</v>
      </c>
      <c r="C609" s="36" t="s">
        <v>3</v>
      </c>
      <c r="D609" s="30"/>
      <c r="E609" s="31">
        <f t="shared" si="33"/>
        <v>2700</v>
      </c>
      <c r="F609" s="38">
        <v>17700</v>
      </c>
    </row>
    <row r="610" spans="2:6" ht="11.25">
      <c r="B610" s="35"/>
      <c r="C610" s="36"/>
      <c r="D610" s="30"/>
      <c r="E610" s="31"/>
      <c r="F610" s="38"/>
    </row>
    <row r="611" spans="2:6" ht="11.25">
      <c r="B611" s="32" t="s">
        <v>701</v>
      </c>
      <c r="C611" s="36"/>
      <c r="D611" s="30"/>
      <c r="E611" s="31"/>
    </row>
    <row r="612" spans="2:6" ht="11.25">
      <c r="B612" s="44" t="s">
        <v>702</v>
      </c>
      <c r="C612" s="36" t="s">
        <v>3</v>
      </c>
      <c r="D612" s="37">
        <f>+F612-E612</f>
        <v>262.71186440677968</v>
      </c>
      <c r="E612" s="31">
        <f t="shared" ref="E612:E675" si="34">+F612*0.18/1.18</f>
        <v>47.288135593220339</v>
      </c>
      <c r="F612" s="38">
        <v>310</v>
      </c>
    </row>
    <row r="613" spans="2:6" ht="11.25">
      <c r="B613" s="44" t="s">
        <v>703</v>
      </c>
      <c r="C613" s="36" t="s">
        <v>3</v>
      </c>
      <c r="D613" s="37">
        <f t="shared" ref="D613:D614" si="35">+F613-E613</f>
        <v>338.9830508474576</v>
      </c>
      <c r="E613" s="31">
        <f t="shared" si="34"/>
        <v>61.016949152542374</v>
      </c>
      <c r="F613" s="38">
        <v>400</v>
      </c>
    </row>
    <row r="614" spans="2:6" ht="11.25">
      <c r="B614" s="44" t="s">
        <v>704</v>
      </c>
      <c r="C614" s="36" t="s">
        <v>3</v>
      </c>
      <c r="D614" s="37">
        <f t="shared" si="35"/>
        <v>386.4406779661017</v>
      </c>
      <c r="E614" s="31">
        <f t="shared" si="34"/>
        <v>69.559322033898312</v>
      </c>
      <c r="F614" s="38">
        <v>456</v>
      </c>
    </row>
    <row r="615" spans="2:6" ht="11.25">
      <c r="B615" s="44" t="s">
        <v>705</v>
      </c>
      <c r="C615" s="36" t="s">
        <v>3</v>
      </c>
      <c r="D615" s="30"/>
      <c r="E615" s="31">
        <f t="shared" si="34"/>
        <v>90.762711864406782</v>
      </c>
      <c r="F615" s="38">
        <v>595</v>
      </c>
    </row>
    <row r="616" spans="2:6" ht="11.25">
      <c r="B616" s="44" t="s">
        <v>706</v>
      </c>
      <c r="C616" s="36" t="s">
        <v>3</v>
      </c>
      <c r="D616" s="30"/>
      <c r="E616" s="31">
        <f t="shared" si="34"/>
        <v>121.72881355932203</v>
      </c>
      <c r="F616" s="38">
        <v>798</v>
      </c>
    </row>
    <row r="617" spans="2:6" ht="11.25">
      <c r="B617" s="44" t="s">
        <v>707</v>
      </c>
      <c r="C617" s="36" t="s">
        <v>3</v>
      </c>
      <c r="D617" s="30"/>
      <c r="E617" s="31">
        <f t="shared" si="34"/>
        <v>390.96610169491527</v>
      </c>
      <c r="F617" s="38">
        <v>2563</v>
      </c>
    </row>
    <row r="618" spans="2:6" ht="11.25">
      <c r="B618" s="44" t="s">
        <v>708</v>
      </c>
      <c r="C618" s="36" t="s">
        <v>3</v>
      </c>
      <c r="D618" s="30"/>
      <c r="E618" s="31">
        <f t="shared" si="34"/>
        <v>581.6440677966101</v>
      </c>
      <c r="F618" s="38">
        <v>3813</v>
      </c>
    </row>
    <row r="619" spans="2:6" ht="11.25">
      <c r="B619" s="44" t="s">
        <v>709</v>
      </c>
      <c r="C619" s="36" t="s">
        <v>3</v>
      </c>
      <c r="D619" s="30"/>
      <c r="E619" s="31">
        <f t="shared" si="34"/>
        <v>799.62711864406776</v>
      </c>
      <c r="F619" s="38">
        <v>5242</v>
      </c>
    </row>
    <row r="620" spans="2:6" ht="11.25">
      <c r="B620" s="44" t="s">
        <v>710</v>
      </c>
      <c r="C620" s="36" t="s">
        <v>3</v>
      </c>
      <c r="D620" s="30"/>
      <c r="E620" s="31">
        <f t="shared" si="34"/>
        <v>1083.3559322033898</v>
      </c>
      <c r="F620" s="38">
        <v>7102</v>
      </c>
    </row>
    <row r="621" spans="2:6" ht="11.25">
      <c r="B621" s="44" t="s">
        <v>711</v>
      </c>
      <c r="C621" s="36" t="s">
        <v>3</v>
      </c>
      <c r="D621" s="30"/>
      <c r="E621" s="31">
        <f t="shared" si="34"/>
        <v>81.610169491525426</v>
      </c>
      <c r="F621" s="38">
        <v>535</v>
      </c>
    </row>
    <row r="622" spans="2:6" ht="11.25">
      <c r="B622" s="44" t="s">
        <v>712</v>
      </c>
      <c r="C622" s="36" t="s">
        <v>3</v>
      </c>
      <c r="D622" s="30"/>
      <c r="E622" s="31">
        <f t="shared" si="34"/>
        <v>96.711864406779654</v>
      </c>
      <c r="F622" s="38">
        <v>634</v>
      </c>
    </row>
    <row r="623" spans="2:6" ht="11.25">
      <c r="B623" s="44" t="s">
        <v>713</v>
      </c>
      <c r="C623" s="36" t="s">
        <v>3</v>
      </c>
      <c r="D623" s="30"/>
      <c r="E623" s="31">
        <f t="shared" si="34"/>
        <v>133.47457627118644</v>
      </c>
      <c r="F623" s="38">
        <v>875</v>
      </c>
    </row>
    <row r="624" spans="2:6" ht="11.25">
      <c r="B624" s="44" t="s">
        <v>714</v>
      </c>
      <c r="C624" s="36" t="s">
        <v>3</v>
      </c>
      <c r="D624" s="30"/>
      <c r="E624" s="31">
        <f t="shared" si="34"/>
        <v>226.52542372881359</v>
      </c>
      <c r="F624" s="38">
        <v>1485</v>
      </c>
    </row>
    <row r="625" spans="2:6" ht="11.25">
      <c r="B625" s="44" t="s">
        <v>715</v>
      </c>
      <c r="C625" s="36" t="s">
        <v>3</v>
      </c>
      <c r="D625" s="30"/>
      <c r="E625" s="31">
        <f t="shared" si="34"/>
        <v>308.8983050847458</v>
      </c>
      <c r="F625" s="38">
        <v>2025</v>
      </c>
    </row>
    <row r="626" spans="2:6" ht="11.25">
      <c r="B626" s="44" t="s">
        <v>716</v>
      </c>
      <c r="C626" s="36" t="s">
        <v>3</v>
      </c>
      <c r="D626" s="30"/>
      <c r="E626" s="31">
        <f t="shared" si="34"/>
        <v>388.98305084745766</v>
      </c>
      <c r="F626" s="38">
        <v>2550</v>
      </c>
    </row>
    <row r="627" spans="2:6" ht="11.25">
      <c r="B627" s="44" t="s">
        <v>717</v>
      </c>
      <c r="C627" s="36" t="s">
        <v>3</v>
      </c>
      <c r="D627" s="30"/>
      <c r="E627" s="31">
        <f t="shared" si="34"/>
        <v>720.00000000000011</v>
      </c>
      <c r="F627" s="38">
        <v>4720</v>
      </c>
    </row>
    <row r="628" spans="2:6" ht="11.25">
      <c r="B628" s="44" t="s">
        <v>718</v>
      </c>
      <c r="C628" s="36" t="s">
        <v>3</v>
      </c>
      <c r="D628" s="30"/>
      <c r="E628" s="31">
        <f t="shared" si="34"/>
        <v>1.8305084745762714</v>
      </c>
      <c r="F628" s="38">
        <v>12</v>
      </c>
    </row>
    <row r="629" spans="2:6" ht="11.25">
      <c r="B629" s="44" t="s">
        <v>719</v>
      </c>
      <c r="C629" s="36" t="s">
        <v>3</v>
      </c>
      <c r="D629" s="30"/>
      <c r="E629" s="31">
        <f t="shared" si="34"/>
        <v>2.4406779661016951</v>
      </c>
      <c r="F629" s="38">
        <v>16</v>
      </c>
    </row>
    <row r="630" spans="2:6" ht="11.25">
      <c r="B630" s="44" t="s">
        <v>720</v>
      </c>
      <c r="C630" s="36" t="s">
        <v>3</v>
      </c>
      <c r="D630" s="30"/>
      <c r="E630" s="31">
        <f t="shared" si="34"/>
        <v>3.8135593220338984</v>
      </c>
      <c r="F630" s="38">
        <v>25</v>
      </c>
    </row>
    <row r="631" spans="2:6" ht="11.25">
      <c r="B631" s="44" t="s">
        <v>721</v>
      </c>
      <c r="C631" s="36" t="s">
        <v>3</v>
      </c>
      <c r="D631" s="30"/>
      <c r="E631" s="31">
        <f t="shared" si="34"/>
        <v>8.3898305084745779</v>
      </c>
      <c r="F631" s="38">
        <v>55</v>
      </c>
    </row>
    <row r="632" spans="2:6" ht="11.25">
      <c r="B632" s="44" t="s">
        <v>722</v>
      </c>
      <c r="C632" s="36" t="s">
        <v>3</v>
      </c>
      <c r="D632" s="30"/>
      <c r="E632" s="31">
        <f t="shared" si="34"/>
        <v>10.677966101694915</v>
      </c>
      <c r="F632" s="38">
        <v>70</v>
      </c>
    </row>
    <row r="633" spans="2:6" ht="11.25">
      <c r="B633" s="44" t="s">
        <v>723</v>
      </c>
      <c r="C633" s="36" t="s">
        <v>3</v>
      </c>
      <c r="D633" s="30"/>
      <c r="E633" s="31">
        <f t="shared" si="34"/>
        <v>28.677966101694913</v>
      </c>
      <c r="F633" s="38">
        <v>188</v>
      </c>
    </row>
    <row r="634" spans="2:6" ht="11.25">
      <c r="B634" s="44" t="s">
        <v>724</v>
      </c>
      <c r="C634" s="36" t="s">
        <v>3</v>
      </c>
      <c r="D634" s="30"/>
      <c r="E634" s="31">
        <f t="shared" si="34"/>
        <v>43.779661016949149</v>
      </c>
      <c r="F634" s="38">
        <v>287</v>
      </c>
    </row>
    <row r="635" spans="2:6" ht="11.25">
      <c r="B635" s="44" t="s">
        <v>725</v>
      </c>
      <c r="C635" s="36" t="s">
        <v>3</v>
      </c>
      <c r="D635" s="30"/>
      <c r="E635" s="31">
        <f t="shared" si="34"/>
        <v>118.83050847457628</v>
      </c>
      <c r="F635" s="38">
        <v>779</v>
      </c>
    </row>
    <row r="636" spans="2:6" ht="11.25">
      <c r="B636" s="44" t="s">
        <v>726</v>
      </c>
      <c r="C636" s="36" t="s">
        <v>3</v>
      </c>
      <c r="D636" s="30"/>
      <c r="E636" s="31">
        <f t="shared" si="34"/>
        <v>333.45762711864404</v>
      </c>
      <c r="F636" s="38">
        <v>2186</v>
      </c>
    </row>
    <row r="637" spans="2:6" ht="11.25">
      <c r="B637" s="44" t="s">
        <v>727</v>
      </c>
      <c r="C637" s="36" t="s">
        <v>3</v>
      </c>
      <c r="D637" s="30"/>
      <c r="E637" s="31">
        <f t="shared" si="34"/>
        <v>450</v>
      </c>
      <c r="F637" s="38">
        <v>2950</v>
      </c>
    </row>
    <row r="638" spans="2:6" ht="11.25">
      <c r="B638" s="44" t="s">
        <v>728</v>
      </c>
      <c r="C638" s="36" t="s">
        <v>3</v>
      </c>
      <c r="D638" s="30"/>
      <c r="E638" s="31">
        <f t="shared" si="34"/>
        <v>1.9067796610169492</v>
      </c>
      <c r="F638" s="38">
        <v>12.5</v>
      </c>
    </row>
    <row r="639" spans="2:6" ht="11.25">
      <c r="B639" s="44" t="s">
        <v>729</v>
      </c>
      <c r="C639" s="36" t="s">
        <v>3</v>
      </c>
      <c r="D639" s="30"/>
      <c r="E639" s="31">
        <f t="shared" si="34"/>
        <v>3.6610169491525428</v>
      </c>
      <c r="F639" s="38">
        <v>24</v>
      </c>
    </row>
    <row r="640" spans="2:6" ht="11.25">
      <c r="B640" s="44" t="s">
        <v>730</v>
      </c>
      <c r="C640" s="36" t="s">
        <v>3</v>
      </c>
      <c r="D640" s="30"/>
      <c r="E640" s="31">
        <f t="shared" si="34"/>
        <v>5.4915254237288131</v>
      </c>
      <c r="F640" s="38">
        <v>36</v>
      </c>
    </row>
    <row r="641" spans="2:6" ht="11.25">
      <c r="B641" s="44" t="s">
        <v>731</v>
      </c>
      <c r="C641" s="36" t="s">
        <v>3</v>
      </c>
      <c r="D641" s="30"/>
      <c r="E641" s="31">
        <f t="shared" si="34"/>
        <v>9.1525423728813546</v>
      </c>
      <c r="F641" s="38">
        <v>60</v>
      </c>
    </row>
    <row r="642" spans="2:6" ht="11.25">
      <c r="B642" s="44" t="s">
        <v>732</v>
      </c>
      <c r="C642" s="36" t="s">
        <v>3</v>
      </c>
      <c r="D642" s="30"/>
      <c r="E642" s="31">
        <f t="shared" si="34"/>
        <v>12.508474576271187</v>
      </c>
      <c r="F642" s="38">
        <v>82</v>
      </c>
    </row>
    <row r="643" spans="2:6" ht="11.25">
      <c r="B643" s="44" t="s">
        <v>733</v>
      </c>
      <c r="C643" s="36" t="s">
        <v>3</v>
      </c>
      <c r="D643" s="30"/>
      <c r="E643" s="31">
        <f t="shared" si="34"/>
        <v>27.762711864406779</v>
      </c>
      <c r="F643" s="38">
        <v>182</v>
      </c>
    </row>
    <row r="644" spans="2:6" ht="11.25">
      <c r="B644" s="44" t="s">
        <v>734</v>
      </c>
      <c r="C644" s="36" t="s">
        <v>3</v>
      </c>
      <c r="D644" s="30"/>
      <c r="E644" s="31">
        <f t="shared" si="34"/>
        <v>51.948305084745762</v>
      </c>
      <c r="F644" s="38">
        <v>340.55</v>
      </c>
    </row>
    <row r="645" spans="2:6" ht="11.25">
      <c r="B645" s="44" t="s">
        <v>735</v>
      </c>
      <c r="C645" s="36" t="s">
        <v>3</v>
      </c>
      <c r="D645" s="30"/>
      <c r="E645" s="31">
        <f t="shared" si="34"/>
        <v>141.38084745762711</v>
      </c>
      <c r="F645" s="38">
        <v>926.83</v>
      </c>
    </row>
    <row r="646" spans="2:6" ht="11.25">
      <c r="B646" s="44" t="s">
        <v>736</v>
      </c>
      <c r="C646" s="36" t="s">
        <v>3</v>
      </c>
      <c r="D646" s="30"/>
      <c r="E646" s="31">
        <f t="shared" si="34"/>
        <v>2.0593220338983049</v>
      </c>
      <c r="F646" s="38">
        <v>13.5</v>
      </c>
    </row>
    <row r="647" spans="2:6" ht="11.25">
      <c r="B647" s="44" t="s">
        <v>737</v>
      </c>
      <c r="C647" s="36" t="s">
        <v>3</v>
      </c>
      <c r="D647" s="30"/>
      <c r="E647" s="31">
        <f t="shared" si="34"/>
        <v>2.4406779661016951</v>
      </c>
      <c r="F647" s="38">
        <v>16</v>
      </c>
    </row>
    <row r="648" spans="2:6" ht="11.25">
      <c r="B648" s="44" t="s">
        <v>738</v>
      </c>
      <c r="C648" s="36" t="s">
        <v>3</v>
      </c>
      <c r="D648" s="30"/>
      <c r="E648" s="31">
        <f t="shared" si="34"/>
        <v>3.8135593220338984</v>
      </c>
      <c r="F648" s="38">
        <v>25</v>
      </c>
    </row>
    <row r="649" spans="2:6" ht="11.25">
      <c r="B649" s="44" t="s">
        <v>739</v>
      </c>
      <c r="C649" s="36" t="s">
        <v>3</v>
      </c>
      <c r="D649" s="30"/>
      <c r="E649" s="31">
        <f t="shared" si="34"/>
        <v>8.2372881355932197</v>
      </c>
      <c r="F649" s="38">
        <v>54</v>
      </c>
    </row>
    <row r="650" spans="2:6" ht="11.25">
      <c r="B650" s="44" t="s">
        <v>740</v>
      </c>
      <c r="C650" s="36" t="s">
        <v>3</v>
      </c>
      <c r="D650" s="30"/>
      <c r="E650" s="31">
        <f t="shared" si="34"/>
        <v>12.35593220338983</v>
      </c>
      <c r="F650" s="38">
        <v>81</v>
      </c>
    </row>
    <row r="651" spans="2:6" ht="11.25">
      <c r="B651" s="44" t="s">
        <v>741</v>
      </c>
      <c r="C651" s="36" t="s">
        <v>3</v>
      </c>
      <c r="D651" s="30"/>
      <c r="E651" s="31">
        <f t="shared" si="34"/>
        <v>32.186440677966104</v>
      </c>
      <c r="F651" s="38">
        <v>211</v>
      </c>
    </row>
    <row r="652" spans="2:6" ht="11.25">
      <c r="B652" s="44" t="s">
        <v>742</v>
      </c>
      <c r="C652" s="36" t="s">
        <v>3</v>
      </c>
      <c r="D652" s="30"/>
      <c r="E652" s="31">
        <f t="shared" si="34"/>
        <v>59.79661016949153</v>
      </c>
      <c r="F652" s="38">
        <v>392</v>
      </c>
    </row>
    <row r="653" spans="2:6" ht="11.25">
      <c r="B653" s="44" t="s">
        <v>743</v>
      </c>
      <c r="C653" s="36" t="s">
        <v>3</v>
      </c>
      <c r="D653" s="30"/>
      <c r="E653" s="31">
        <f t="shared" si="34"/>
        <v>1.0296610169491525</v>
      </c>
      <c r="F653" s="38">
        <v>6.75</v>
      </c>
    </row>
    <row r="654" spans="2:6" ht="11.25">
      <c r="B654" s="44" t="s">
        <v>744</v>
      </c>
      <c r="C654" s="36" t="s">
        <v>3</v>
      </c>
      <c r="D654" s="30"/>
      <c r="E654" s="31">
        <f t="shared" si="34"/>
        <v>1.3728813559322033</v>
      </c>
      <c r="F654" s="38">
        <v>9</v>
      </c>
    </row>
    <row r="655" spans="2:6" ht="11.25">
      <c r="B655" s="44" t="s">
        <v>745</v>
      </c>
      <c r="C655" s="36" t="s">
        <v>3</v>
      </c>
      <c r="D655" s="30"/>
      <c r="E655" s="31">
        <f t="shared" si="34"/>
        <v>2.4406779661016951</v>
      </c>
      <c r="F655" s="38">
        <v>16</v>
      </c>
    </row>
    <row r="656" spans="2:6" ht="11.25">
      <c r="B656" s="44" t="s">
        <v>746</v>
      </c>
      <c r="C656" s="36" t="s">
        <v>3</v>
      </c>
      <c r="D656" s="30"/>
      <c r="E656" s="31">
        <f t="shared" si="34"/>
        <v>5.4915254237288131</v>
      </c>
      <c r="F656" s="38">
        <v>36</v>
      </c>
    </row>
    <row r="657" spans="2:6" ht="11.25">
      <c r="B657" s="44" t="s">
        <v>747</v>
      </c>
      <c r="C657" s="36" t="s">
        <v>3</v>
      </c>
      <c r="D657" s="30"/>
      <c r="E657" s="31">
        <f t="shared" si="34"/>
        <v>11.745762711864407</v>
      </c>
      <c r="F657" s="38">
        <v>77</v>
      </c>
    </row>
    <row r="658" spans="2:6" ht="11.25">
      <c r="B658" s="44" t="s">
        <v>748</v>
      </c>
      <c r="C658" s="36" t="s">
        <v>3</v>
      </c>
      <c r="D658" s="30"/>
      <c r="E658" s="31">
        <f t="shared" si="34"/>
        <v>14.644067796610171</v>
      </c>
      <c r="F658" s="38">
        <v>96</v>
      </c>
    </row>
    <row r="659" spans="2:6" ht="11.25">
      <c r="B659" s="44" t="s">
        <v>749</v>
      </c>
      <c r="C659" s="36" t="s">
        <v>3</v>
      </c>
      <c r="D659" s="30"/>
      <c r="E659" s="31">
        <f t="shared" si="34"/>
        <v>11.822033898305085</v>
      </c>
      <c r="F659" s="38">
        <v>77.5</v>
      </c>
    </row>
    <row r="660" spans="2:6" ht="11.25">
      <c r="B660" s="44" t="s">
        <v>750</v>
      </c>
      <c r="C660" s="36" t="s">
        <v>3</v>
      </c>
      <c r="D660" s="30"/>
      <c r="E660" s="31">
        <f t="shared" si="34"/>
        <v>1.0296610169491525</v>
      </c>
      <c r="F660" s="38">
        <v>6.75</v>
      </c>
    </row>
    <row r="661" spans="2:6" ht="11.25">
      <c r="B661" s="44" t="s">
        <v>751</v>
      </c>
      <c r="C661" s="36" t="s">
        <v>3</v>
      </c>
      <c r="D661" s="30"/>
      <c r="E661" s="31">
        <f t="shared" si="34"/>
        <v>1.1974576271186439</v>
      </c>
      <c r="F661" s="38">
        <v>7.85</v>
      </c>
    </row>
    <row r="662" spans="2:6" ht="11.25">
      <c r="B662" s="44" t="s">
        <v>752</v>
      </c>
      <c r="C662" s="36" t="s">
        <v>3</v>
      </c>
      <c r="D662" s="30"/>
      <c r="E662" s="31">
        <f t="shared" si="34"/>
        <v>2.0593220338983049</v>
      </c>
      <c r="F662" s="38">
        <v>13.5</v>
      </c>
    </row>
    <row r="663" spans="2:6" ht="11.25">
      <c r="B663" s="44" t="s">
        <v>753</v>
      </c>
      <c r="C663" s="36" t="s">
        <v>3</v>
      </c>
      <c r="D663" s="30"/>
      <c r="E663" s="31">
        <f t="shared" si="34"/>
        <v>5.3389830508474576</v>
      </c>
      <c r="F663" s="38">
        <v>35</v>
      </c>
    </row>
    <row r="664" spans="2:6" ht="11.25">
      <c r="B664" s="44" t="s">
        <v>754</v>
      </c>
      <c r="C664" s="36" t="s">
        <v>3</v>
      </c>
      <c r="D664" s="30"/>
      <c r="E664" s="31">
        <f t="shared" si="34"/>
        <v>5.6440677966101696</v>
      </c>
      <c r="F664" s="38">
        <v>37</v>
      </c>
    </row>
    <row r="665" spans="2:6" ht="11.25">
      <c r="B665" s="44" t="s">
        <v>755</v>
      </c>
      <c r="C665" s="36" t="s">
        <v>3</v>
      </c>
      <c r="D665" s="30"/>
      <c r="E665" s="31">
        <f t="shared" si="34"/>
        <v>20.288135593220339</v>
      </c>
      <c r="F665" s="38">
        <v>133</v>
      </c>
    </row>
    <row r="666" spans="2:6" ht="11.25">
      <c r="B666" s="44" t="s">
        <v>756</v>
      </c>
      <c r="C666" s="36" t="s">
        <v>3</v>
      </c>
      <c r="D666" s="30"/>
      <c r="E666" s="31">
        <f t="shared" si="34"/>
        <v>25.627118644067796</v>
      </c>
      <c r="F666" s="38">
        <v>168</v>
      </c>
    </row>
    <row r="667" spans="2:6" ht="11.25">
      <c r="B667" s="44" t="s">
        <v>757</v>
      </c>
      <c r="C667" s="36" t="s">
        <v>3</v>
      </c>
      <c r="D667" s="30"/>
      <c r="E667" s="31">
        <f t="shared" si="34"/>
        <v>48.050847457627114</v>
      </c>
      <c r="F667" s="38">
        <v>315</v>
      </c>
    </row>
    <row r="668" spans="2:6" ht="11.25">
      <c r="B668" s="44" t="s">
        <v>758</v>
      </c>
      <c r="C668" s="36" t="s">
        <v>3</v>
      </c>
      <c r="D668" s="30"/>
      <c r="E668" s="31">
        <f t="shared" si="34"/>
        <v>1.2005084745762711</v>
      </c>
      <c r="F668" s="38">
        <v>7.87</v>
      </c>
    </row>
    <row r="669" spans="2:6" ht="11.25">
      <c r="B669" s="44" t="s">
        <v>759</v>
      </c>
      <c r="C669" s="36" t="s">
        <v>3</v>
      </c>
      <c r="D669" s="30"/>
      <c r="E669" s="31">
        <f t="shared" si="34"/>
        <v>1.3347457627118644</v>
      </c>
      <c r="F669" s="38">
        <v>8.75</v>
      </c>
    </row>
    <row r="670" spans="2:6" ht="11.25">
      <c r="B670" s="44" t="s">
        <v>760</v>
      </c>
      <c r="C670" s="36" t="s">
        <v>3</v>
      </c>
      <c r="D670" s="30"/>
      <c r="E670" s="31">
        <f t="shared" si="34"/>
        <v>1.5406779661016949</v>
      </c>
      <c r="F670" s="38">
        <v>10.1</v>
      </c>
    </row>
    <row r="671" spans="2:6" ht="11.25">
      <c r="B671" s="44" t="s">
        <v>761</v>
      </c>
      <c r="C671" s="36" t="s">
        <v>3</v>
      </c>
      <c r="D671" s="30"/>
      <c r="E671" s="31">
        <f t="shared" si="34"/>
        <v>5.1864406779661021</v>
      </c>
      <c r="F671" s="38">
        <v>34</v>
      </c>
    </row>
    <row r="672" spans="2:6" ht="11.25">
      <c r="B672" s="44" t="s">
        <v>762</v>
      </c>
      <c r="C672" s="36" t="s">
        <v>3</v>
      </c>
      <c r="D672" s="30"/>
      <c r="E672" s="31">
        <f t="shared" si="34"/>
        <v>3.9661016949152543</v>
      </c>
      <c r="F672" s="38">
        <v>26</v>
      </c>
    </row>
    <row r="673" spans="2:6" ht="11.25">
      <c r="B673" s="44" t="s">
        <v>763</v>
      </c>
      <c r="C673" s="36" t="s">
        <v>3</v>
      </c>
      <c r="D673" s="30"/>
      <c r="E673" s="31">
        <f t="shared" si="34"/>
        <v>11.440677966101696</v>
      </c>
      <c r="F673" s="38">
        <v>75</v>
      </c>
    </row>
    <row r="674" spans="2:6" ht="11.25">
      <c r="B674" s="44" t="s">
        <v>764</v>
      </c>
      <c r="C674" s="36" t="s">
        <v>3</v>
      </c>
      <c r="D674" s="30"/>
      <c r="E674" s="31">
        <f t="shared" si="34"/>
        <v>18</v>
      </c>
      <c r="F674" s="38">
        <v>118</v>
      </c>
    </row>
    <row r="675" spans="2:6" ht="11.25">
      <c r="B675" s="44" t="s">
        <v>765</v>
      </c>
      <c r="C675" s="36" t="s">
        <v>3</v>
      </c>
      <c r="D675" s="30"/>
      <c r="E675" s="31">
        <f t="shared" si="34"/>
        <v>1.235593220338983</v>
      </c>
      <c r="F675" s="38">
        <v>8.1</v>
      </c>
    </row>
    <row r="676" spans="2:6" ht="11.25">
      <c r="B676" s="44" t="s">
        <v>766</v>
      </c>
      <c r="C676" s="36" t="s">
        <v>3</v>
      </c>
      <c r="D676" s="30"/>
      <c r="E676" s="31">
        <f t="shared" ref="E676:E705" si="36">+F676*0.18/1.18</f>
        <v>1.8305084745762714</v>
      </c>
      <c r="F676" s="38">
        <v>12</v>
      </c>
    </row>
    <row r="677" spans="2:6" ht="11.25">
      <c r="B677" s="44" t="s">
        <v>767</v>
      </c>
      <c r="C677" s="36" t="s">
        <v>3</v>
      </c>
      <c r="D677" s="30"/>
      <c r="E677" s="31">
        <f t="shared" si="36"/>
        <v>4.5762711864406773</v>
      </c>
      <c r="F677" s="38">
        <v>30</v>
      </c>
    </row>
    <row r="678" spans="2:6" ht="11.25">
      <c r="B678" s="44" t="s">
        <v>768</v>
      </c>
      <c r="C678" s="36" t="s">
        <v>3</v>
      </c>
      <c r="D678" s="30"/>
      <c r="E678" s="31">
        <f t="shared" si="36"/>
        <v>4.8813559322033901</v>
      </c>
      <c r="F678" s="38">
        <v>32</v>
      </c>
    </row>
    <row r="679" spans="2:6" ht="11.25">
      <c r="B679" s="44" t="s">
        <v>769</v>
      </c>
      <c r="C679" s="36" t="s">
        <v>3</v>
      </c>
      <c r="D679" s="30"/>
      <c r="E679" s="31">
        <f t="shared" si="36"/>
        <v>6.406779661016949</v>
      </c>
      <c r="F679" s="38">
        <v>42</v>
      </c>
    </row>
    <row r="680" spans="2:6" ht="11.25">
      <c r="B680" s="44" t="s">
        <v>770</v>
      </c>
      <c r="C680" s="36" t="s">
        <v>3</v>
      </c>
      <c r="D680" s="30"/>
      <c r="E680" s="31">
        <f t="shared" si="36"/>
        <v>5.3389830508474576</v>
      </c>
      <c r="F680" s="38">
        <v>35</v>
      </c>
    </row>
    <row r="681" spans="2:6" ht="11.25">
      <c r="B681" s="44" t="s">
        <v>771</v>
      </c>
      <c r="C681" s="36" t="s">
        <v>3</v>
      </c>
      <c r="D681" s="30"/>
      <c r="E681" s="31">
        <f t="shared" si="36"/>
        <v>21.203389830508474</v>
      </c>
      <c r="F681" s="38">
        <v>139</v>
      </c>
    </row>
    <row r="682" spans="2:6" ht="11.25">
      <c r="B682" s="44" t="s">
        <v>772</v>
      </c>
      <c r="C682" s="36" t="s">
        <v>3</v>
      </c>
      <c r="D682" s="30"/>
      <c r="E682" s="31">
        <f t="shared" si="36"/>
        <v>48.223220338983054</v>
      </c>
      <c r="F682" s="38">
        <v>316.13</v>
      </c>
    </row>
    <row r="683" spans="2:6" ht="11.25">
      <c r="B683" s="44" t="s">
        <v>773</v>
      </c>
      <c r="C683" s="36" t="s">
        <v>3</v>
      </c>
      <c r="D683" s="30"/>
      <c r="E683" s="31">
        <f t="shared" si="36"/>
        <v>81.610169491525426</v>
      </c>
      <c r="F683" s="38">
        <v>535</v>
      </c>
    </row>
    <row r="684" spans="2:6" ht="11.25">
      <c r="B684" s="44" t="s">
        <v>774</v>
      </c>
      <c r="C684" s="36" t="s">
        <v>3</v>
      </c>
      <c r="D684" s="30"/>
      <c r="E684" s="31">
        <f t="shared" si="36"/>
        <v>4.5762711864406773</v>
      </c>
      <c r="F684" s="38">
        <v>30</v>
      </c>
    </row>
    <row r="685" spans="2:6" ht="11.25">
      <c r="B685" s="44" t="s">
        <v>775</v>
      </c>
      <c r="C685" s="36" t="s">
        <v>3</v>
      </c>
      <c r="D685" s="30"/>
      <c r="E685" s="31">
        <f t="shared" si="36"/>
        <v>7.4745762711864412</v>
      </c>
      <c r="F685" s="38">
        <v>49</v>
      </c>
    </row>
    <row r="686" spans="2:6" ht="11.25">
      <c r="B686" s="44" t="s">
        <v>776</v>
      </c>
      <c r="C686" s="36" t="s">
        <v>3</v>
      </c>
      <c r="D686" s="30"/>
      <c r="E686" s="31">
        <f t="shared" si="36"/>
        <v>7.6271186440677967</v>
      </c>
      <c r="F686" s="38">
        <v>50</v>
      </c>
    </row>
    <row r="687" spans="2:6" ht="11.25">
      <c r="B687" s="44" t="s">
        <v>777</v>
      </c>
      <c r="C687" s="36" t="s">
        <v>3</v>
      </c>
      <c r="D687" s="30"/>
      <c r="E687" s="31">
        <f t="shared" si="36"/>
        <v>19.525423728813561</v>
      </c>
      <c r="F687" s="38">
        <v>128</v>
      </c>
    </row>
    <row r="688" spans="2:6" ht="11.25">
      <c r="B688" s="44" t="s">
        <v>778</v>
      </c>
      <c r="C688" s="36" t="s">
        <v>3</v>
      </c>
      <c r="D688" s="30"/>
      <c r="E688" s="31">
        <f t="shared" si="36"/>
        <v>40.881355932203391</v>
      </c>
      <c r="F688" s="38">
        <v>268</v>
      </c>
    </row>
    <row r="689" spans="2:6" ht="11.25">
      <c r="B689" s="44" t="s">
        <v>779</v>
      </c>
      <c r="C689" s="36" t="s">
        <v>3</v>
      </c>
      <c r="D689" s="30"/>
      <c r="E689" s="31">
        <f t="shared" si="36"/>
        <v>81.152542372881356</v>
      </c>
      <c r="F689" s="38">
        <v>532</v>
      </c>
    </row>
    <row r="690" spans="2:6" ht="11.25">
      <c r="B690" s="44" t="s">
        <v>780</v>
      </c>
      <c r="C690" s="36" t="s">
        <v>3</v>
      </c>
      <c r="D690" s="30"/>
      <c r="E690" s="31">
        <f t="shared" si="36"/>
        <v>106.77966101694916</v>
      </c>
      <c r="F690" s="38">
        <v>700</v>
      </c>
    </row>
    <row r="691" spans="2:6" ht="11.25">
      <c r="B691" s="44" t="s">
        <v>781</v>
      </c>
      <c r="C691" s="36" t="s">
        <v>3</v>
      </c>
      <c r="D691" s="30"/>
      <c r="E691" s="31">
        <f t="shared" si="36"/>
        <v>45.305084745762713</v>
      </c>
      <c r="F691" s="38">
        <v>297</v>
      </c>
    </row>
    <row r="692" spans="2:6" ht="11.25">
      <c r="B692" s="44" t="s">
        <v>782</v>
      </c>
      <c r="C692" s="36" t="s">
        <v>3</v>
      </c>
      <c r="D692" s="30"/>
      <c r="E692" s="31">
        <f t="shared" si="36"/>
        <v>62.237288135593225</v>
      </c>
      <c r="F692" s="38">
        <v>408</v>
      </c>
    </row>
    <row r="693" spans="2:6" ht="11.25">
      <c r="B693" s="44" t="s">
        <v>783</v>
      </c>
      <c r="C693" s="36" t="s">
        <v>3</v>
      </c>
      <c r="D693" s="30"/>
      <c r="E693" s="31">
        <f t="shared" si="36"/>
        <v>93.050847457627114</v>
      </c>
      <c r="F693" s="38">
        <v>610</v>
      </c>
    </row>
    <row r="694" spans="2:6" ht="11.25">
      <c r="B694" s="44" t="s">
        <v>784</v>
      </c>
      <c r="C694" s="36" t="s">
        <v>3</v>
      </c>
      <c r="D694" s="30"/>
      <c r="E694" s="31">
        <f t="shared" si="36"/>
        <v>167.79661016949154</v>
      </c>
      <c r="F694" s="38">
        <v>1100</v>
      </c>
    </row>
    <row r="695" spans="2:6" ht="11.25">
      <c r="B695" s="44" t="s">
        <v>785</v>
      </c>
      <c r="C695" s="36" t="s">
        <v>3</v>
      </c>
      <c r="D695" s="30"/>
      <c r="E695" s="31">
        <f t="shared" si="36"/>
        <v>56.745762711864401</v>
      </c>
      <c r="F695" s="38">
        <v>372</v>
      </c>
    </row>
    <row r="696" spans="2:6" ht="11.25">
      <c r="B696" s="44" t="s">
        <v>786</v>
      </c>
      <c r="C696" s="36" t="s">
        <v>3</v>
      </c>
      <c r="D696" s="30"/>
      <c r="E696" s="31">
        <f t="shared" si="36"/>
        <v>75.661016949152554</v>
      </c>
      <c r="F696" s="38">
        <v>496</v>
      </c>
    </row>
    <row r="697" spans="2:6" ht="11.25">
      <c r="B697" s="44" t="s">
        <v>787</v>
      </c>
      <c r="C697" s="36" t="s">
        <v>3</v>
      </c>
      <c r="D697" s="30"/>
      <c r="E697" s="31">
        <f t="shared" si="36"/>
        <v>97.779661016949149</v>
      </c>
      <c r="F697" s="38">
        <v>641</v>
      </c>
    </row>
    <row r="698" spans="2:6" ht="11.25">
      <c r="B698" s="44" t="s">
        <v>788</v>
      </c>
      <c r="C698" s="36" t="s">
        <v>3</v>
      </c>
      <c r="D698" s="30"/>
      <c r="E698" s="31">
        <f t="shared" si="36"/>
        <v>196.77966101694915</v>
      </c>
      <c r="F698" s="38">
        <v>1290</v>
      </c>
    </row>
    <row r="699" spans="2:6" ht="11.25">
      <c r="B699" s="44" t="s">
        <v>789</v>
      </c>
      <c r="C699" s="36" t="s">
        <v>3</v>
      </c>
      <c r="D699" s="30"/>
      <c r="E699" s="31">
        <f t="shared" si="36"/>
        <v>27.457627118644069</v>
      </c>
      <c r="F699" s="38">
        <v>180</v>
      </c>
    </row>
    <row r="700" spans="2:6" ht="11.25">
      <c r="B700" s="44" t="s">
        <v>790</v>
      </c>
      <c r="C700" s="36" t="s">
        <v>3</v>
      </c>
      <c r="D700" s="37">
        <f>+F700-E700</f>
        <v>173.72881355932202</v>
      </c>
      <c r="E700" s="31">
        <f t="shared" si="36"/>
        <v>31.271186440677965</v>
      </c>
      <c r="F700" s="38">
        <v>205</v>
      </c>
    </row>
    <row r="701" spans="2:6" ht="11.25">
      <c r="B701" s="44" t="s">
        <v>791</v>
      </c>
      <c r="C701" s="36" t="s">
        <v>3</v>
      </c>
      <c r="D701" s="37">
        <f>+F701-E701</f>
        <v>275.42372881355931</v>
      </c>
      <c r="E701" s="31">
        <f t="shared" si="36"/>
        <v>49.576271186440678</v>
      </c>
      <c r="F701" s="38">
        <v>325</v>
      </c>
    </row>
    <row r="702" spans="2:6" ht="11.25">
      <c r="B702" s="44" t="s">
        <v>792</v>
      </c>
      <c r="C702" s="36" t="s">
        <v>3</v>
      </c>
      <c r="D702" s="30"/>
      <c r="E702" s="31">
        <f t="shared" si="36"/>
        <v>73.52542372881355</v>
      </c>
      <c r="F702" s="38">
        <v>482</v>
      </c>
    </row>
    <row r="703" spans="2:6" ht="11.25">
      <c r="B703" s="44" t="s">
        <v>793</v>
      </c>
      <c r="C703" s="36" t="s">
        <v>3</v>
      </c>
      <c r="D703" s="30"/>
      <c r="E703" s="31">
        <f t="shared" si="36"/>
        <v>144.15254237288136</v>
      </c>
      <c r="F703" s="38">
        <v>945</v>
      </c>
    </row>
    <row r="704" spans="2:6" ht="11.25">
      <c r="B704" s="44" t="s">
        <v>794</v>
      </c>
      <c r="C704" s="36" t="s">
        <v>3</v>
      </c>
      <c r="D704" s="30"/>
      <c r="E704" s="31">
        <f t="shared" si="36"/>
        <v>38.135593220338983</v>
      </c>
      <c r="F704" s="38">
        <v>250</v>
      </c>
    </row>
    <row r="705" spans="2:6" ht="11.25">
      <c r="B705" s="44" t="s">
        <v>795</v>
      </c>
      <c r="C705" s="36" t="s">
        <v>3</v>
      </c>
      <c r="D705" s="30"/>
      <c r="E705" s="31">
        <f t="shared" si="36"/>
        <v>47.288135593220339</v>
      </c>
      <c r="F705" s="38">
        <v>310</v>
      </c>
    </row>
    <row r="706" spans="2:6" ht="11.25">
      <c r="B706" s="32"/>
      <c r="C706" s="36"/>
      <c r="D706" s="30"/>
      <c r="E706" s="31"/>
    </row>
    <row r="707" spans="2:6" ht="11.25">
      <c r="B707" s="32" t="s">
        <v>796</v>
      </c>
      <c r="C707" s="36"/>
      <c r="D707" s="30"/>
      <c r="E707" s="31"/>
    </row>
    <row r="708" spans="2:6" ht="11.25">
      <c r="B708" s="44" t="s">
        <v>797</v>
      </c>
      <c r="C708" s="36" t="s">
        <v>3</v>
      </c>
      <c r="D708" s="37">
        <f>+F708-E708</f>
        <v>628.81355932203394</v>
      </c>
      <c r="E708" s="31">
        <f t="shared" ref="E708:E763" si="37">+F708*0.18/1.18</f>
        <v>113.1864406779661</v>
      </c>
      <c r="F708" s="38">
        <v>742</v>
      </c>
    </row>
    <row r="709" spans="2:6" ht="11.25">
      <c r="B709" s="44" t="s">
        <v>798</v>
      </c>
      <c r="C709" s="36" t="s">
        <v>3</v>
      </c>
      <c r="D709" s="30"/>
      <c r="E709" s="31">
        <f t="shared" si="37"/>
        <v>65.745762711864415</v>
      </c>
      <c r="F709" s="38">
        <v>431</v>
      </c>
    </row>
    <row r="710" spans="2:6" ht="11.25">
      <c r="B710" s="44" t="s">
        <v>799</v>
      </c>
      <c r="C710" s="36" t="s">
        <v>3</v>
      </c>
      <c r="D710" s="30"/>
      <c r="E710" s="31">
        <f t="shared" si="37"/>
        <v>43.16949152542373</v>
      </c>
      <c r="F710" s="38">
        <v>283</v>
      </c>
    </row>
    <row r="711" spans="2:6" ht="11.25">
      <c r="B711" s="44" t="s">
        <v>800</v>
      </c>
      <c r="C711" s="36" t="s">
        <v>3</v>
      </c>
      <c r="D711" s="30"/>
      <c r="E711" s="31">
        <f t="shared" si="37"/>
        <v>24.711864406779661</v>
      </c>
      <c r="F711" s="38">
        <v>162</v>
      </c>
    </row>
    <row r="712" spans="2:6" ht="11.25">
      <c r="B712" s="44" t="s">
        <v>801</v>
      </c>
      <c r="C712" s="36" t="s">
        <v>3</v>
      </c>
      <c r="D712" s="30"/>
      <c r="E712" s="31">
        <f t="shared" si="37"/>
        <v>18.762711864406782</v>
      </c>
      <c r="F712" s="38">
        <v>123</v>
      </c>
    </row>
    <row r="713" spans="2:6" ht="11.25">
      <c r="B713" s="44" t="s">
        <v>802</v>
      </c>
      <c r="C713" s="36" t="s">
        <v>3</v>
      </c>
      <c r="D713" s="30"/>
      <c r="E713" s="31">
        <f t="shared" si="37"/>
        <v>26.694915254237291</v>
      </c>
      <c r="F713" s="38">
        <v>175</v>
      </c>
    </row>
    <row r="714" spans="2:6" ht="11.25">
      <c r="B714" s="44" t="s">
        <v>803</v>
      </c>
      <c r="C714" s="36" t="s">
        <v>3</v>
      </c>
      <c r="D714" s="37">
        <f t="shared" ref="D714:D716" si="38">+F714-E714</f>
        <v>151.69491525423729</v>
      </c>
      <c r="E714" s="31">
        <f t="shared" si="37"/>
        <v>27.305084745762713</v>
      </c>
      <c r="F714" s="38">
        <v>179</v>
      </c>
    </row>
    <row r="715" spans="2:6" ht="11.25">
      <c r="B715" s="44" t="s">
        <v>804</v>
      </c>
      <c r="C715" s="36" t="s">
        <v>3</v>
      </c>
      <c r="D715" s="37">
        <f t="shared" si="38"/>
        <v>399.15254237288138</v>
      </c>
      <c r="E715" s="31">
        <f t="shared" si="37"/>
        <v>71.847457627118644</v>
      </c>
      <c r="F715" s="38">
        <v>471</v>
      </c>
    </row>
    <row r="716" spans="2:6" ht="11.25">
      <c r="B716" s="44" t="s">
        <v>805</v>
      </c>
      <c r="C716" s="36" t="s">
        <v>3</v>
      </c>
      <c r="D716" s="37">
        <f t="shared" si="38"/>
        <v>683.05084745762713</v>
      </c>
      <c r="E716" s="31">
        <f t="shared" si="37"/>
        <v>122.94915254237287</v>
      </c>
      <c r="F716" s="38">
        <v>806</v>
      </c>
    </row>
    <row r="717" spans="2:6" ht="11.25">
      <c r="B717" s="44" t="s">
        <v>806</v>
      </c>
      <c r="C717" s="36" t="s">
        <v>3</v>
      </c>
      <c r="D717" s="37">
        <f>+F717-E717</f>
        <v>1504.2372881355932</v>
      </c>
      <c r="E717" s="31">
        <f t="shared" si="37"/>
        <v>270.76271186440681</v>
      </c>
      <c r="F717" s="38">
        <v>1775</v>
      </c>
    </row>
    <row r="718" spans="2:6" ht="11.25">
      <c r="B718" s="44" t="s">
        <v>807</v>
      </c>
      <c r="C718" s="36" t="s">
        <v>3</v>
      </c>
      <c r="D718" s="30"/>
      <c r="E718" s="31">
        <f t="shared" si="37"/>
        <v>373.42372881355931</v>
      </c>
      <c r="F718" s="38">
        <v>2448</v>
      </c>
    </row>
    <row r="719" spans="2:6" ht="11.25">
      <c r="B719" s="44" t="s">
        <v>808</v>
      </c>
      <c r="C719" s="36" t="s">
        <v>3</v>
      </c>
      <c r="D719" s="30"/>
      <c r="E719" s="31">
        <f t="shared" si="37"/>
        <v>618.5593220338983</v>
      </c>
      <c r="F719" s="38">
        <v>4055</v>
      </c>
    </row>
    <row r="720" spans="2:6" ht="11.25">
      <c r="B720" s="44" t="s">
        <v>809</v>
      </c>
      <c r="C720" s="36" t="s">
        <v>3</v>
      </c>
      <c r="D720" s="30"/>
      <c r="E720" s="31">
        <f t="shared" si="37"/>
        <v>1362.9661016949153</v>
      </c>
      <c r="F720" s="38">
        <v>8935</v>
      </c>
    </row>
    <row r="721" spans="2:6" ht="11.25">
      <c r="B721" s="44" t="s">
        <v>810</v>
      </c>
      <c r="C721" s="36" t="s">
        <v>3</v>
      </c>
      <c r="D721" s="30"/>
      <c r="E721" s="31">
        <f t="shared" si="37"/>
        <v>34.322033898305087</v>
      </c>
      <c r="F721" s="38">
        <v>225</v>
      </c>
    </row>
    <row r="722" spans="2:6" ht="11.25">
      <c r="B722" s="44" t="s">
        <v>811</v>
      </c>
      <c r="C722" s="36" t="s">
        <v>3</v>
      </c>
      <c r="D722" s="37">
        <f>+F722-E722</f>
        <v>305.08474576271186</v>
      </c>
      <c r="E722" s="31">
        <f t="shared" si="37"/>
        <v>54.915254237288138</v>
      </c>
      <c r="F722" s="38">
        <v>360</v>
      </c>
    </row>
    <row r="723" spans="2:6" ht="11.25">
      <c r="B723" s="44" t="s">
        <v>812</v>
      </c>
      <c r="C723" s="36" t="s">
        <v>3</v>
      </c>
      <c r="D723" s="37">
        <f>+F723-E723</f>
        <v>652.54237288135596</v>
      </c>
      <c r="E723" s="31">
        <f t="shared" si="37"/>
        <v>117.45762711864407</v>
      </c>
      <c r="F723" s="38">
        <v>770</v>
      </c>
    </row>
    <row r="724" spans="2:6" ht="11.25">
      <c r="B724" s="44" t="s">
        <v>813</v>
      </c>
      <c r="C724" s="36" t="s">
        <v>3</v>
      </c>
      <c r="D724" s="37">
        <f>+F724-E724</f>
        <v>1008.4745762711864</v>
      </c>
      <c r="E724" s="31">
        <f t="shared" si="37"/>
        <v>181.52542372881356</v>
      </c>
      <c r="F724" s="38">
        <v>1190</v>
      </c>
    </row>
    <row r="725" spans="2:6" ht="11.25">
      <c r="B725" s="44" t="s">
        <v>814</v>
      </c>
      <c r="C725" s="36" t="s">
        <v>3</v>
      </c>
      <c r="D725" s="30"/>
      <c r="E725" s="31">
        <f t="shared" si="37"/>
        <v>427.11864406779665</v>
      </c>
      <c r="F725" s="38">
        <v>2800</v>
      </c>
    </row>
    <row r="726" spans="2:6" ht="11.25">
      <c r="B726" s="44" t="s">
        <v>815</v>
      </c>
      <c r="C726" s="36" t="s">
        <v>3</v>
      </c>
      <c r="D726" s="30"/>
      <c r="E726" s="31">
        <f t="shared" si="37"/>
        <v>838.98305084745766</v>
      </c>
      <c r="F726" s="38">
        <v>5500</v>
      </c>
    </row>
    <row r="727" spans="2:6" ht="11.25">
      <c r="B727" s="44" t="s">
        <v>816</v>
      </c>
      <c r="C727" s="36" t="s">
        <v>3</v>
      </c>
      <c r="D727" s="30"/>
      <c r="E727" s="31">
        <f t="shared" si="37"/>
        <v>16.016949152542374</v>
      </c>
      <c r="F727" s="38">
        <v>105</v>
      </c>
    </row>
    <row r="728" spans="2:6" ht="11.25">
      <c r="B728" s="44" t="s">
        <v>817</v>
      </c>
      <c r="C728" s="36" t="s">
        <v>3</v>
      </c>
      <c r="D728" s="30"/>
      <c r="E728" s="31">
        <f t="shared" si="37"/>
        <v>19.83050847457627</v>
      </c>
      <c r="F728" s="38">
        <v>130</v>
      </c>
    </row>
    <row r="729" spans="2:6" ht="11.25">
      <c r="B729" s="44" t="s">
        <v>818</v>
      </c>
      <c r="C729" s="36" t="s">
        <v>3</v>
      </c>
      <c r="D729" s="37">
        <f>+F729-E729</f>
        <v>207.62711864406779</v>
      </c>
      <c r="E729" s="31">
        <f t="shared" si="37"/>
        <v>37.372881355932208</v>
      </c>
      <c r="F729" s="38">
        <v>245</v>
      </c>
    </row>
    <row r="730" spans="2:6" ht="11.25">
      <c r="B730" s="44" t="s">
        <v>819</v>
      </c>
      <c r="C730" s="36" t="s">
        <v>3</v>
      </c>
      <c r="D730" s="37">
        <f t="shared" ref="D730" si="39">+F730-E730</f>
        <v>405.93220338983053</v>
      </c>
      <c r="E730" s="31">
        <f t="shared" si="37"/>
        <v>73.067796610169495</v>
      </c>
      <c r="F730" s="38">
        <v>479</v>
      </c>
    </row>
    <row r="731" spans="2:6" ht="11.25">
      <c r="B731" s="44" t="s">
        <v>820</v>
      </c>
      <c r="C731" s="36" t="s">
        <v>3</v>
      </c>
      <c r="D731" s="37">
        <f>+F731-E731</f>
        <v>507.62711864406776</v>
      </c>
      <c r="E731" s="31">
        <f t="shared" si="37"/>
        <v>91.372881355932208</v>
      </c>
      <c r="F731" s="38">
        <v>599</v>
      </c>
    </row>
    <row r="732" spans="2:6" ht="11.25">
      <c r="B732" s="44" t="s">
        <v>821</v>
      </c>
      <c r="C732" s="36" t="s">
        <v>3</v>
      </c>
      <c r="D732" s="37">
        <f>+F732-E732</f>
        <v>854.23728813559319</v>
      </c>
      <c r="E732" s="31">
        <f t="shared" si="37"/>
        <v>153.76271186440678</v>
      </c>
      <c r="F732" s="38">
        <v>1008</v>
      </c>
    </row>
    <row r="733" spans="2:6" ht="11.25">
      <c r="B733" s="44" t="s">
        <v>822</v>
      </c>
      <c r="C733" s="36" t="s">
        <v>3</v>
      </c>
      <c r="D733" s="37">
        <f>+F733-E733</f>
        <v>2810.1694915254238</v>
      </c>
      <c r="E733" s="31">
        <f t="shared" si="37"/>
        <v>505.83050847457628</v>
      </c>
      <c r="F733" s="38">
        <v>3316</v>
      </c>
    </row>
    <row r="734" spans="2:6" ht="11.25">
      <c r="B734" s="44" t="s">
        <v>823</v>
      </c>
      <c r="C734" s="36" t="s">
        <v>3</v>
      </c>
      <c r="D734" s="30"/>
      <c r="E734" s="31">
        <f t="shared" si="37"/>
        <v>5.0338983050847457</v>
      </c>
      <c r="F734" s="38">
        <v>33</v>
      </c>
    </row>
    <row r="735" spans="2:6" ht="11.25">
      <c r="B735" s="44" t="s">
        <v>824</v>
      </c>
      <c r="C735" s="36" t="s">
        <v>3</v>
      </c>
      <c r="D735" s="37">
        <f>+F735-E735</f>
        <v>70.33898305084746</v>
      </c>
      <c r="E735" s="31">
        <f t="shared" si="37"/>
        <v>12.661016949152543</v>
      </c>
      <c r="F735" s="38">
        <v>83</v>
      </c>
    </row>
    <row r="736" spans="2:6" ht="11.25">
      <c r="B736" s="44" t="s">
        <v>825</v>
      </c>
      <c r="C736" s="36" t="s">
        <v>3</v>
      </c>
      <c r="D736" s="37">
        <f>+F736-E736</f>
        <v>101.69491525423729</v>
      </c>
      <c r="E736" s="31">
        <f t="shared" si="37"/>
        <v>18.305084745762709</v>
      </c>
      <c r="F736" s="38">
        <v>120</v>
      </c>
    </row>
    <row r="737" spans="2:6" ht="11.25">
      <c r="B737" s="44" t="s">
        <v>826</v>
      </c>
      <c r="C737" s="36" t="s">
        <v>3</v>
      </c>
      <c r="D737" s="30"/>
      <c r="E737" s="31">
        <f t="shared" si="37"/>
        <v>58.118644067796609</v>
      </c>
      <c r="F737" s="38">
        <v>381</v>
      </c>
    </row>
    <row r="738" spans="2:6" ht="11.25">
      <c r="B738" s="44" t="s">
        <v>827</v>
      </c>
      <c r="C738" s="36" t="s">
        <v>3</v>
      </c>
      <c r="D738" s="30"/>
      <c r="E738" s="31">
        <f t="shared" si="37"/>
        <v>3.5084745762711864</v>
      </c>
      <c r="F738" s="38">
        <v>23</v>
      </c>
    </row>
    <row r="739" spans="2:6" ht="11.25">
      <c r="B739" s="44" t="s">
        <v>828</v>
      </c>
      <c r="C739" s="36" t="s">
        <v>3</v>
      </c>
      <c r="D739" s="30"/>
      <c r="E739" s="31">
        <f t="shared" si="37"/>
        <v>9.1525423728813546</v>
      </c>
      <c r="F739" s="38">
        <v>60</v>
      </c>
    </row>
    <row r="740" spans="2:6" ht="11.25">
      <c r="B740" s="44" t="s">
        <v>829</v>
      </c>
      <c r="C740" s="36" t="s">
        <v>3</v>
      </c>
      <c r="D740" s="30"/>
      <c r="E740" s="31">
        <f t="shared" si="37"/>
        <v>13.576271186440678</v>
      </c>
      <c r="F740" s="38">
        <v>89</v>
      </c>
    </row>
    <row r="741" spans="2:6" ht="11.25">
      <c r="B741" s="44" t="s">
        <v>830</v>
      </c>
      <c r="C741" s="36" t="s">
        <v>3</v>
      </c>
      <c r="D741" s="30"/>
      <c r="E741" s="31">
        <f t="shared" si="37"/>
        <v>50.491525423728817</v>
      </c>
      <c r="F741" s="38">
        <v>331</v>
      </c>
    </row>
    <row r="742" spans="2:6" ht="11.25">
      <c r="B742" s="44" t="s">
        <v>831</v>
      </c>
      <c r="C742" s="36" t="s">
        <v>3</v>
      </c>
      <c r="D742" s="30"/>
      <c r="E742" s="31">
        <f t="shared" si="37"/>
        <v>5.9491525423728815</v>
      </c>
      <c r="F742" s="38">
        <v>39</v>
      </c>
    </row>
    <row r="743" spans="2:6" ht="11.25">
      <c r="B743" s="44" t="s">
        <v>832</v>
      </c>
      <c r="C743" s="36" t="s">
        <v>3</v>
      </c>
      <c r="D743" s="30"/>
      <c r="E743" s="31">
        <f t="shared" si="37"/>
        <v>7.6271186440677967</v>
      </c>
      <c r="F743" s="38">
        <v>50</v>
      </c>
    </row>
    <row r="744" spans="2:6" ht="11.25">
      <c r="B744" s="44" t="s">
        <v>833</v>
      </c>
      <c r="C744" s="36" t="s">
        <v>3</v>
      </c>
      <c r="D744" s="30"/>
      <c r="E744" s="31">
        <f t="shared" si="37"/>
        <v>24.559322033898308</v>
      </c>
      <c r="F744" s="38">
        <v>161</v>
      </c>
    </row>
    <row r="745" spans="2:6" ht="11.25">
      <c r="B745" s="44" t="s">
        <v>834</v>
      </c>
      <c r="C745" s="36" t="s">
        <v>3</v>
      </c>
      <c r="D745" s="30"/>
      <c r="E745" s="31">
        <f t="shared" si="37"/>
        <v>32.338983050847453</v>
      </c>
      <c r="F745" s="38">
        <v>212</v>
      </c>
    </row>
    <row r="746" spans="2:6" ht="11.25">
      <c r="B746" s="44" t="s">
        <v>835</v>
      </c>
      <c r="C746" s="36" t="s">
        <v>3</v>
      </c>
      <c r="D746" s="30"/>
      <c r="E746" s="31">
        <f t="shared" si="37"/>
        <v>69.406779661016941</v>
      </c>
      <c r="F746" s="38">
        <v>455</v>
      </c>
    </row>
    <row r="747" spans="2:6" ht="11.25">
      <c r="B747" s="44" t="s">
        <v>836</v>
      </c>
      <c r="C747" s="36" t="s">
        <v>3</v>
      </c>
      <c r="D747" s="30"/>
      <c r="E747" s="31">
        <f t="shared" si="37"/>
        <v>14.491525423728813</v>
      </c>
      <c r="F747" s="38">
        <v>95</v>
      </c>
    </row>
    <row r="748" spans="2:6" ht="11.25">
      <c r="B748" s="44" t="s">
        <v>837</v>
      </c>
      <c r="C748" s="36" t="s">
        <v>3</v>
      </c>
      <c r="D748" s="30"/>
      <c r="E748" s="31">
        <f t="shared" si="37"/>
        <v>17.237288135593221</v>
      </c>
      <c r="F748" s="38">
        <v>113</v>
      </c>
    </row>
    <row r="749" spans="2:6" ht="11.25">
      <c r="B749" s="44" t="s">
        <v>838</v>
      </c>
      <c r="C749" s="36" t="s">
        <v>3</v>
      </c>
      <c r="D749" s="30"/>
      <c r="E749" s="31">
        <f t="shared" si="37"/>
        <v>24.406779661016948</v>
      </c>
      <c r="F749" s="38">
        <v>160</v>
      </c>
    </row>
    <row r="750" spans="2:6" ht="11.25">
      <c r="B750" s="44" t="s">
        <v>839</v>
      </c>
      <c r="C750" s="36" t="s">
        <v>3</v>
      </c>
      <c r="D750" s="30"/>
      <c r="E750" s="31">
        <f t="shared" si="37"/>
        <v>205.93220338983053</v>
      </c>
      <c r="F750" s="38">
        <v>1350</v>
      </c>
    </row>
    <row r="751" spans="2:6" ht="11.25">
      <c r="B751" s="44" t="s">
        <v>840</v>
      </c>
      <c r="C751" s="36" t="s">
        <v>3</v>
      </c>
      <c r="D751" s="30"/>
      <c r="E751" s="31">
        <f t="shared" si="37"/>
        <v>11.288135593220339</v>
      </c>
      <c r="F751" s="38">
        <v>74</v>
      </c>
    </row>
    <row r="752" spans="2:6" ht="11.25">
      <c r="B752" s="44" t="s">
        <v>841</v>
      </c>
      <c r="C752" s="36" t="s">
        <v>3</v>
      </c>
      <c r="D752" s="30"/>
      <c r="E752" s="31">
        <f t="shared" si="37"/>
        <v>18.762711864406782</v>
      </c>
      <c r="F752" s="38">
        <v>123</v>
      </c>
    </row>
    <row r="753" spans="2:6" ht="11.25">
      <c r="B753" s="44" t="s">
        <v>842</v>
      </c>
      <c r="C753" s="36" t="s">
        <v>3</v>
      </c>
      <c r="D753" s="30"/>
      <c r="E753" s="31">
        <f t="shared" si="37"/>
        <v>32.033898305084747</v>
      </c>
      <c r="F753" s="38">
        <v>210</v>
      </c>
    </row>
    <row r="754" spans="2:6" ht="11.25">
      <c r="B754" s="44" t="s">
        <v>843</v>
      </c>
      <c r="C754" s="36" t="s">
        <v>3</v>
      </c>
      <c r="D754" s="30"/>
      <c r="E754" s="31">
        <f t="shared" si="37"/>
        <v>96.864406779661024</v>
      </c>
      <c r="F754" s="38">
        <v>635</v>
      </c>
    </row>
    <row r="755" spans="2:6" ht="11.25">
      <c r="B755" s="44" t="s">
        <v>844</v>
      </c>
      <c r="C755" s="36" t="s">
        <v>3</v>
      </c>
      <c r="D755" s="30"/>
      <c r="E755" s="31">
        <f t="shared" si="37"/>
        <v>28.83050847457627</v>
      </c>
      <c r="F755" s="38">
        <v>189</v>
      </c>
    </row>
    <row r="756" spans="2:6" ht="11.25">
      <c r="B756" s="44" t="s">
        <v>845</v>
      </c>
      <c r="C756" s="36" t="s">
        <v>3</v>
      </c>
      <c r="D756" s="30"/>
      <c r="E756" s="31">
        <f t="shared" si="37"/>
        <v>27.305084745762713</v>
      </c>
      <c r="F756" s="38">
        <v>179</v>
      </c>
    </row>
    <row r="757" spans="2:6" ht="11.25">
      <c r="B757" s="44" t="s">
        <v>846</v>
      </c>
      <c r="C757" s="36" t="s">
        <v>3</v>
      </c>
      <c r="D757" s="30"/>
      <c r="E757" s="31">
        <f t="shared" si="37"/>
        <v>32.49152542372881</v>
      </c>
      <c r="F757" s="38">
        <v>213</v>
      </c>
    </row>
    <row r="758" spans="2:6" ht="11.25">
      <c r="B758" s="44" t="s">
        <v>847</v>
      </c>
      <c r="C758" s="36" t="s">
        <v>3</v>
      </c>
      <c r="D758" s="30"/>
      <c r="E758" s="31">
        <f t="shared" si="37"/>
        <v>14.491525423728813</v>
      </c>
      <c r="F758" s="38">
        <v>95</v>
      </c>
    </row>
    <row r="759" spans="2:6" ht="11.25">
      <c r="B759" s="44" t="s">
        <v>848</v>
      </c>
      <c r="C759" s="36" t="s">
        <v>3</v>
      </c>
      <c r="D759" s="30"/>
      <c r="E759" s="31">
        <f t="shared" si="37"/>
        <v>99.152542372881356</v>
      </c>
      <c r="F759" s="38">
        <v>650</v>
      </c>
    </row>
    <row r="760" spans="2:6" ht="11.25">
      <c r="B760" s="44" t="s">
        <v>849</v>
      </c>
      <c r="C760" s="36" t="s">
        <v>3</v>
      </c>
      <c r="D760" s="30"/>
      <c r="E760" s="31">
        <f t="shared" si="37"/>
        <v>3.8135593220338984</v>
      </c>
      <c r="F760" s="38">
        <v>25</v>
      </c>
    </row>
    <row r="761" spans="2:6" ht="11.25">
      <c r="B761" s="44" t="s">
        <v>850</v>
      </c>
      <c r="C761" s="36" t="s">
        <v>3</v>
      </c>
      <c r="D761" s="30"/>
      <c r="E761" s="31">
        <f t="shared" si="37"/>
        <v>9.4576271186440692</v>
      </c>
      <c r="F761" s="38">
        <v>62</v>
      </c>
    </row>
    <row r="762" spans="2:6" ht="11.25">
      <c r="B762" s="44" t="s">
        <v>851</v>
      </c>
      <c r="C762" s="36" t="s">
        <v>3</v>
      </c>
      <c r="D762" s="30"/>
      <c r="E762" s="31">
        <f t="shared" si="37"/>
        <v>9.9152542372881349</v>
      </c>
      <c r="F762" s="38">
        <v>65</v>
      </c>
    </row>
    <row r="763" spans="2:6" ht="11.25">
      <c r="B763" s="44" t="s">
        <v>852</v>
      </c>
      <c r="C763" s="36" t="s">
        <v>3</v>
      </c>
      <c r="D763" s="30"/>
      <c r="E763" s="31">
        <f t="shared" si="37"/>
        <v>54.152542372881356</v>
      </c>
      <c r="F763" s="38">
        <v>355</v>
      </c>
    </row>
    <row r="764" spans="2:6" ht="11.25">
      <c r="B764" s="30"/>
      <c r="D764" s="30"/>
      <c r="E764" s="31"/>
      <c r="F764" s="30"/>
    </row>
    <row r="765" spans="2:6" ht="11.25">
      <c r="B765" s="32" t="s">
        <v>853</v>
      </c>
      <c r="D765" s="30"/>
      <c r="E765" s="31"/>
    </row>
    <row r="766" spans="2:6" ht="11.25">
      <c r="B766" s="44" t="s">
        <v>854</v>
      </c>
      <c r="C766" s="36" t="s">
        <v>855</v>
      </c>
      <c r="D766" s="30"/>
      <c r="E766" s="31">
        <f t="shared" ref="E766:E783" si="40">+F766*0.18/1.18</f>
        <v>2.4406779661016951</v>
      </c>
      <c r="F766" s="38">
        <v>16</v>
      </c>
    </row>
    <row r="767" spans="2:6" ht="11.25">
      <c r="B767" s="44" t="s">
        <v>856</v>
      </c>
      <c r="C767" s="36" t="s">
        <v>855</v>
      </c>
      <c r="D767" s="30"/>
      <c r="E767" s="31">
        <f t="shared" si="40"/>
        <v>2.7457627118644066</v>
      </c>
      <c r="F767" s="38">
        <v>18</v>
      </c>
    </row>
    <row r="768" spans="2:6" ht="11.25">
      <c r="B768" s="44" t="s">
        <v>857</v>
      </c>
      <c r="C768" s="36" t="s">
        <v>855</v>
      </c>
      <c r="D768" s="30"/>
      <c r="E768" s="31">
        <f t="shared" si="40"/>
        <v>3.0508474576271185</v>
      </c>
      <c r="F768" s="38">
        <v>20</v>
      </c>
    </row>
    <row r="769" spans="2:6" ht="11.25">
      <c r="B769" s="44" t="s">
        <v>858</v>
      </c>
      <c r="C769" s="36" t="s">
        <v>3</v>
      </c>
      <c r="D769" s="30"/>
      <c r="E769" s="31">
        <f t="shared" si="40"/>
        <v>18.305084745762709</v>
      </c>
      <c r="F769" s="38">
        <v>120</v>
      </c>
    </row>
    <row r="770" spans="2:6" ht="11.25">
      <c r="B770" s="44" t="s">
        <v>859</v>
      </c>
      <c r="C770" s="36" t="s">
        <v>3</v>
      </c>
      <c r="D770" s="30"/>
      <c r="E770" s="31">
        <f t="shared" si="40"/>
        <v>19.525423728813561</v>
      </c>
      <c r="F770" s="38">
        <v>128</v>
      </c>
    </row>
    <row r="771" spans="2:6" ht="11.25">
      <c r="B771" s="44" t="s">
        <v>860</v>
      </c>
      <c r="C771" s="36" t="s">
        <v>3</v>
      </c>
      <c r="D771" s="30"/>
      <c r="E771" s="31">
        <f t="shared" si="40"/>
        <v>20.898305084745765</v>
      </c>
      <c r="F771" s="38">
        <v>137</v>
      </c>
    </row>
    <row r="772" spans="2:6" ht="11.25">
      <c r="B772" s="44" t="s">
        <v>861</v>
      </c>
      <c r="C772" s="36" t="s">
        <v>3</v>
      </c>
      <c r="D772" s="30"/>
      <c r="E772" s="31">
        <f t="shared" si="40"/>
        <v>22.881355932203391</v>
      </c>
      <c r="F772" s="38">
        <v>150</v>
      </c>
    </row>
    <row r="773" spans="2:6" ht="11.25">
      <c r="B773" s="44" t="s">
        <v>862</v>
      </c>
      <c r="C773" s="36" t="s">
        <v>3</v>
      </c>
      <c r="D773" s="30"/>
      <c r="E773" s="31">
        <f t="shared" si="40"/>
        <v>18.152542372881356</v>
      </c>
      <c r="F773" s="38">
        <v>119</v>
      </c>
    </row>
    <row r="774" spans="2:6" ht="11.25">
      <c r="B774" s="44" t="s">
        <v>863</v>
      </c>
      <c r="C774" s="36" t="s">
        <v>3</v>
      </c>
      <c r="D774" s="30"/>
      <c r="E774" s="31">
        <f t="shared" si="40"/>
        <v>20.593220338983052</v>
      </c>
      <c r="F774" s="38">
        <v>135</v>
      </c>
    </row>
    <row r="775" spans="2:6" ht="11.25">
      <c r="B775" s="44" t="s">
        <v>864</v>
      </c>
      <c r="C775" s="36" t="s">
        <v>3</v>
      </c>
      <c r="D775" s="30"/>
      <c r="E775" s="31">
        <f t="shared" si="40"/>
        <v>19.677966101694917</v>
      </c>
      <c r="F775" s="38">
        <v>129</v>
      </c>
    </row>
    <row r="776" spans="2:6" ht="11.25">
      <c r="B776" s="44" t="s">
        <v>865</v>
      </c>
      <c r="C776" s="36" t="s">
        <v>3</v>
      </c>
      <c r="D776" s="30"/>
      <c r="E776" s="31">
        <f t="shared" si="40"/>
        <v>22.728813559322035</v>
      </c>
      <c r="F776" s="38">
        <v>149</v>
      </c>
    </row>
    <row r="777" spans="2:6" ht="11.25">
      <c r="B777" s="44" t="s">
        <v>866</v>
      </c>
      <c r="C777" s="36" t="s">
        <v>3</v>
      </c>
      <c r="D777" s="30"/>
      <c r="E777" s="31">
        <f t="shared" si="40"/>
        <v>38.135593220338983</v>
      </c>
      <c r="F777" s="38">
        <v>250</v>
      </c>
    </row>
    <row r="778" spans="2:6" ht="11.25">
      <c r="B778" s="44" t="s">
        <v>867</v>
      </c>
      <c r="C778" s="36" t="s">
        <v>3</v>
      </c>
      <c r="D778" s="30"/>
      <c r="E778" s="31">
        <f t="shared" si="40"/>
        <v>54.762711864406789</v>
      </c>
      <c r="F778" s="38">
        <v>359</v>
      </c>
    </row>
    <row r="779" spans="2:6" ht="11.25">
      <c r="B779" s="44" t="s">
        <v>868</v>
      </c>
      <c r="C779" s="36" t="s">
        <v>3</v>
      </c>
      <c r="D779" s="30"/>
      <c r="E779" s="31">
        <f t="shared" si="40"/>
        <v>53.389830508474581</v>
      </c>
      <c r="F779" s="38">
        <v>350</v>
      </c>
    </row>
    <row r="780" spans="2:6" ht="11.25">
      <c r="B780" s="44" t="s">
        <v>869</v>
      </c>
      <c r="C780" s="36" t="s">
        <v>3</v>
      </c>
      <c r="D780" s="30"/>
      <c r="E780" s="31">
        <f t="shared" si="40"/>
        <v>45.877118644067799</v>
      </c>
      <c r="F780" s="38">
        <v>300.75</v>
      </c>
    </row>
    <row r="781" spans="2:6" ht="11.25">
      <c r="B781" s="44" t="s">
        <v>870</v>
      </c>
      <c r="C781" s="36" t="s">
        <v>3</v>
      </c>
      <c r="D781" s="30"/>
      <c r="E781" s="31">
        <f t="shared" si="40"/>
        <v>29.745762711864408</v>
      </c>
      <c r="F781" s="38">
        <v>195</v>
      </c>
    </row>
    <row r="782" spans="2:6" ht="11.25">
      <c r="B782" s="44" t="s">
        <v>871</v>
      </c>
      <c r="C782" s="36" t="s">
        <v>3</v>
      </c>
      <c r="D782" s="30"/>
      <c r="E782" s="31">
        <f t="shared" si="40"/>
        <v>25.16949152542373</v>
      </c>
      <c r="F782" s="38">
        <v>165</v>
      </c>
    </row>
    <row r="783" spans="2:6" ht="11.25">
      <c r="B783" s="44" t="s">
        <v>872</v>
      </c>
      <c r="C783" s="36" t="s">
        <v>3</v>
      </c>
      <c r="D783" s="30"/>
      <c r="E783" s="31">
        <f t="shared" si="40"/>
        <v>28.983050847457626</v>
      </c>
      <c r="F783" s="38">
        <v>190</v>
      </c>
    </row>
    <row r="784" spans="2:6" ht="11.25">
      <c r="C784" s="36"/>
      <c r="D784" s="30"/>
      <c r="E784" s="31"/>
      <c r="F784" s="41"/>
    </row>
    <row r="785" spans="2:6" ht="11.25">
      <c r="B785" s="32" t="s">
        <v>873</v>
      </c>
      <c r="D785" s="30"/>
      <c r="E785" s="31"/>
    </row>
    <row r="786" spans="2:6" ht="11.25">
      <c r="B786" s="44" t="s">
        <v>874</v>
      </c>
      <c r="C786" s="36" t="s">
        <v>3</v>
      </c>
      <c r="D786" s="30"/>
      <c r="E786" s="31">
        <f t="shared" ref="E786:E822" si="41">+F786*0.18/1.18</f>
        <v>34.16949152542373</v>
      </c>
      <c r="F786" s="38">
        <v>224</v>
      </c>
    </row>
    <row r="787" spans="2:6" ht="11.25">
      <c r="B787" s="44" t="s">
        <v>875</v>
      </c>
      <c r="C787" s="36" t="s">
        <v>3</v>
      </c>
      <c r="D787" s="30"/>
      <c r="E787" s="31">
        <f t="shared" si="41"/>
        <v>53.389830508474581</v>
      </c>
      <c r="F787" s="38">
        <v>350</v>
      </c>
    </row>
    <row r="788" spans="2:6" ht="11.25">
      <c r="B788" s="44" t="s">
        <v>876</v>
      </c>
      <c r="C788" s="36" t="s">
        <v>3</v>
      </c>
      <c r="D788" s="30"/>
      <c r="E788" s="31">
        <f t="shared" si="41"/>
        <v>87.101694915254242</v>
      </c>
      <c r="F788" s="38">
        <v>571</v>
      </c>
    </row>
    <row r="789" spans="2:6" ht="11.25">
      <c r="B789" s="44" t="s">
        <v>877</v>
      </c>
      <c r="C789" s="36" t="s">
        <v>3</v>
      </c>
      <c r="D789" s="30"/>
      <c r="E789" s="31">
        <f t="shared" si="41"/>
        <v>184.72881355932205</v>
      </c>
      <c r="F789" s="38">
        <v>1211</v>
      </c>
    </row>
    <row r="790" spans="2:6" ht="11.25">
      <c r="B790" s="44" t="s">
        <v>878</v>
      </c>
      <c r="C790" s="36" t="s">
        <v>3</v>
      </c>
      <c r="D790" s="30"/>
      <c r="E790" s="31">
        <f t="shared" si="41"/>
        <v>366.10169491525426</v>
      </c>
      <c r="F790" s="38">
        <v>2400</v>
      </c>
    </row>
    <row r="791" spans="2:6" ht="11.25">
      <c r="B791" s="44" t="s">
        <v>879</v>
      </c>
      <c r="C791" s="36" t="s">
        <v>3</v>
      </c>
      <c r="D791" s="30"/>
      <c r="E791" s="31">
        <f t="shared" si="41"/>
        <v>1.8305084745762714</v>
      </c>
      <c r="F791" s="38">
        <v>12</v>
      </c>
    </row>
    <row r="792" spans="2:6" ht="11.25">
      <c r="B792" s="44" t="s">
        <v>880</v>
      </c>
      <c r="C792" s="36" t="s">
        <v>3</v>
      </c>
      <c r="D792" s="30"/>
      <c r="E792" s="31">
        <f t="shared" si="41"/>
        <v>2.4406779661016951</v>
      </c>
      <c r="F792" s="38">
        <v>16</v>
      </c>
    </row>
    <row r="793" spans="2:6" ht="11.25">
      <c r="B793" s="44" t="s">
        <v>881</v>
      </c>
      <c r="C793" s="36" t="s">
        <v>3</v>
      </c>
      <c r="D793" s="30"/>
      <c r="E793" s="31">
        <f t="shared" si="41"/>
        <v>4.7288135593220346</v>
      </c>
      <c r="F793" s="38">
        <v>31</v>
      </c>
    </row>
    <row r="794" spans="2:6" ht="11.25">
      <c r="B794" s="44" t="s">
        <v>882</v>
      </c>
      <c r="C794" s="36" t="s">
        <v>3</v>
      </c>
      <c r="D794" s="30"/>
      <c r="E794" s="31">
        <f t="shared" si="41"/>
        <v>10.983050847457626</v>
      </c>
      <c r="F794" s="38">
        <v>72</v>
      </c>
    </row>
    <row r="795" spans="2:6" ht="11.25">
      <c r="B795" s="44" t="s">
        <v>883</v>
      </c>
      <c r="C795" s="36" t="s">
        <v>3</v>
      </c>
      <c r="D795" s="30"/>
      <c r="E795" s="31">
        <f t="shared" si="41"/>
        <v>15.254237288135593</v>
      </c>
      <c r="F795" s="38">
        <v>100</v>
      </c>
    </row>
    <row r="796" spans="2:6" ht="11.25">
      <c r="B796" s="44" t="s">
        <v>884</v>
      </c>
      <c r="C796" s="36" t="s">
        <v>3</v>
      </c>
      <c r="D796" s="30"/>
      <c r="E796" s="31">
        <f t="shared" si="41"/>
        <v>1.7542372881355932</v>
      </c>
      <c r="F796" s="38">
        <v>11.5</v>
      </c>
    </row>
    <row r="797" spans="2:6" ht="11.25">
      <c r="B797" s="44" t="s">
        <v>885</v>
      </c>
      <c r="C797" s="36" t="s">
        <v>3</v>
      </c>
      <c r="D797" s="30"/>
      <c r="E797" s="31">
        <f t="shared" si="41"/>
        <v>2.2881355932203387</v>
      </c>
      <c r="F797" s="38">
        <v>15</v>
      </c>
    </row>
    <row r="798" spans="2:6" ht="11.25">
      <c r="B798" s="44" t="s">
        <v>886</v>
      </c>
      <c r="C798" s="36" t="s">
        <v>3</v>
      </c>
      <c r="D798" s="30"/>
      <c r="E798" s="31">
        <f t="shared" si="41"/>
        <v>4.8813559322033901</v>
      </c>
      <c r="F798" s="38">
        <v>32</v>
      </c>
    </row>
    <row r="799" spans="2:6" ht="11.25">
      <c r="B799" s="44" t="s">
        <v>887</v>
      </c>
      <c r="C799" s="36" t="s">
        <v>3</v>
      </c>
      <c r="D799" s="30"/>
      <c r="E799" s="31">
        <f t="shared" si="41"/>
        <v>6.8644067796610173</v>
      </c>
      <c r="F799" s="38">
        <v>45</v>
      </c>
    </row>
    <row r="800" spans="2:6" ht="11.25">
      <c r="B800" s="44" t="s">
        <v>888</v>
      </c>
      <c r="C800" s="36" t="s">
        <v>3</v>
      </c>
      <c r="D800" s="30"/>
      <c r="E800" s="31">
        <f t="shared" si="41"/>
        <v>12.278135593220339</v>
      </c>
      <c r="F800" s="38">
        <v>80.489999999999995</v>
      </c>
    </row>
    <row r="801" spans="2:6" ht="11.25">
      <c r="B801" s="44" t="s">
        <v>889</v>
      </c>
      <c r="C801" s="36" t="s">
        <v>3</v>
      </c>
      <c r="D801" s="30"/>
      <c r="E801" s="31">
        <f t="shared" si="41"/>
        <v>1.8305084745762714</v>
      </c>
      <c r="F801" s="38">
        <v>12</v>
      </c>
    </row>
    <row r="802" spans="2:6" ht="11.25">
      <c r="B802" s="44" t="s">
        <v>890</v>
      </c>
      <c r="C802" s="36" t="s">
        <v>3</v>
      </c>
      <c r="D802" s="30"/>
      <c r="E802" s="31">
        <f t="shared" si="41"/>
        <v>2.593220338983051</v>
      </c>
      <c r="F802" s="38">
        <v>17</v>
      </c>
    </row>
    <row r="803" spans="2:6" ht="11.25">
      <c r="B803" s="44" t="s">
        <v>891</v>
      </c>
      <c r="C803" s="36" t="s">
        <v>3</v>
      </c>
      <c r="D803" s="30"/>
      <c r="E803" s="31">
        <f t="shared" si="41"/>
        <v>3.9661016949152543</v>
      </c>
      <c r="F803" s="38">
        <v>26</v>
      </c>
    </row>
    <row r="804" spans="2:6" ht="11.25">
      <c r="B804" s="44" t="s">
        <v>892</v>
      </c>
      <c r="C804" s="36" t="s">
        <v>3</v>
      </c>
      <c r="D804" s="30"/>
      <c r="E804" s="31">
        <f t="shared" si="41"/>
        <v>11.440677966101696</v>
      </c>
      <c r="F804" s="38">
        <v>75</v>
      </c>
    </row>
    <row r="805" spans="2:6" ht="11.25">
      <c r="B805" s="44" t="s">
        <v>893</v>
      </c>
      <c r="C805" s="36" t="s">
        <v>3</v>
      </c>
      <c r="D805" s="30"/>
      <c r="E805" s="31">
        <f t="shared" si="41"/>
        <v>17.542372881355931</v>
      </c>
      <c r="F805" s="38">
        <v>115</v>
      </c>
    </row>
    <row r="806" spans="2:6" ht="11.25">
      <c r="B806" s="44" t="s">
        <v>894</v>
      </c>
      <c r="C806" s="36" t="s">
        <v>3</v>
      </c>
      <c r="D806" s="30"/>
      <c r="E806" s="31">
        <f t="shared" si="41"/>
        <v>9.6101694915254239</v>
      </c>
      <c r="F806" s="38">
        <v>63</v>
      </c>
    </row>
    <row r="807" spans="2:6" ht="11.25">
      <c r="B807" s="44" t="s">
        <v>895</v>
      </c>
      <c r="C807" s="36" t="s">
        <v>3</v>
      </c>
      <c r="D807" s="30"/>
      <c r="E807" s="31">
        <f t="shared" si="41"/>
        <v>16.779661016949156</v>
      </c>
      <c r="F807" s="38">
        <v>110</v>
      </c>
    </row>
    <row r="808" spans="2:6" ht="11.25">
      <c r="B808" s="44" t="s">
        <v>896</v>
      </c>
      <c r="C808" s="36" t="s">
        <v>3</v>
      </c>
      <c r="D808" s="30"/>
      <c r="E808" s="31">
        <f t="shared" si="41"/>
        <v>38.898305084745765</v>
      </c>
      <c r="F808" s="38">
        <v>255</v>
      </c>
    </row>
    <row r="809" spans="2:6" ht="11.25">
      <c r="B809" s="44" t="s">
        <v>897</v>
      </c>
      <c r="C809" s="36" t="s">
        <v>3</v>
      </c>
      <c r="D809" s="30"/>
      <c r="E809" s="31">
        <f t="shared" si="41"/>
        <v>59.567796610169488</v>
      </c>
      <c r="F809" s="38">
        <v>390.5</v>
      </c>
    </row>
    <row r="810" spans="2:6" ht="11.25">
      <c r="B810" s="44" t="s">
        <v>898</v>
      </c>
      <c r="C810" s="36" t="s">
        <v>3</v>
      </c>
      <c r="D810" s="30"/>
      <c r="E810" s="31">
        <f t="shared" si="41"/>
        <v>13.576271186440678</v>
      </c>
      <c r="F810" s="38">
        <v>89</v>
      </c>
    </row>
    <row r="811" spans="2:6" ht="11.25">
      <c r="B811" s="44" t="s">
        <v>899</v>
      </c>
      <c r="C811" s="36" t="s">
        <v>3</v>
      </c>
      <c r="D811" s="30"/>
      <c r="E811" s="31">
        <f t="shared" si="41"/>
        <v>22.118644067796609</v>
      </c>
      <c r="F811" s="38">
        <v>145</v>
      </c>
    </row>
    <row r="812" spans="2:6" ht="11.25">
      <c r="B812" s="44" t="s">
        <v>900</v>
      </c>
      <c r="C812" s="36" t="s">
        <v>3</v>
      </c>
      <c r="D812" s="30"/>
      <c r="E812" s="31">
        <f t="shared" si="41"/>
        <v>18.610169491525426</v>
      </c>
      <c r="F812" s="38">
        <v>122</v>
      </c>
    </row>
    <row r="813" spans="2:6" ht="11.25">
      <c r="B813" s="44" t="s">
        <v>901</v>
      </c>
      <c r="C813" s="36" t="s">
        <v>3</v>
      </c>
      <c r="D813" s="30"/>
      <c r="E813" s="31">
        <f t="shared" si="41"/>
        <v>13.728813559322035</v>
      </c>
      <c r="F813" s="38">
        <v>90</v>
      </c>
    </row>
    <row r="814" spans="2:6" ht="11.25">
      <c r="B814" s="44" t="s">
        <v>902</v>
      </c>
      <c r="C814" s="36" t="s">
        <v>3</v>
      </c>
      <c r="D814" s="30"/>
      <c r="E814" s="31">
        <f t="shared" si="41"/>
        <v>13.728813559322035</v>
      </c>
      <c r="F814" s="38">
        <v>90</v>
      </c>
    </row>
    <row r="815" spans="2:6" ht="11.25">
      <c r="B815" s="44" t="s">
        <v>903</v>
      </c>
      <c r="C815" s="36" t="s">
        <v>3</v>
      </c>
      <c r="D815" s="30"/>
      <c r="E815" s="31">
        <f t="shared" si="41"/>
        <v>12.203389830508474</v>
      </c>
      <c r="F815" s="38">
        <v>80</v>
      </c>
    </row>
    <row r="816" spans="2:6" ht="11.25">
      <c r="B816" s="44" t="s">
        <v>904</v>
      </c>
      <c r="C816" s="36" t="s">
        <v>3</v>
      </c>
      <c r="D816" s="30"/>
      <c r="E816" s="31">
        <f t="shared" si="41"/>
        <v>10.677966101694915</v>
      </c>
      <c r="F816" s="38">
        <v>70</v>
      </c>
    </row>
    <row r="817" spans="2:6" ht="11.25">
      <c r="B817" s="44" t="s">
        <v>905</v>
      </c>
      <c r="C817" s="36" t="s">
        <v>3</v>
      </c>
      <c r="D817" s="30"/>
      <c r="E817" s="31">
        <f t="shared" si="41"/>
        <v>16.779661016949156</v>
      </c>
      <c r="F817" s="38">
        <v>110</v>
      </c>
    </row>
    <row r="818" spans="2:6" ht="11.25">
      <c r="B818" s="44" t="s">
        <v>906</v>
      </c>
      <c r="C818" s="36" t="s">
        <v>3</v>
      </c>
      <c r="D818" s="30"/>
      <c r="E818" s="31">
        <f t="shared" si="41"/>
        <v>15.40677966101695</v>
      </c>
      <c r="F818" s="38">
        <v>101</v>
      </c>
    </row>
    <row r="819" spans="2:6" ht="11.25">
      <c r="B819" s="44" t="s">
        <v>907</v>
      </c>
      <c r="C819" s="36" t="s">
        <v>3</v>
      </c>
      <c r="D819" s="30"/>
      <c r="E819" s="31">
        <f t="shared" si="41"/>
        <v>23.796610169491526</v>
      </c>
      <c r="F819" s="38">
        <v>156</v>
      </c>
    </row>
    <row r="820" spans="2:6" ht="11.25">
      <c r="B820" s="44" t="s">
        <v>908</v>
      </c>
      <c r="C820" s="36" t="s">
        <v>3</v>
      </c>
      <c r="D820" s="30"/>
      <c r="E820" s="31">
        <f t="shared" si="41"/>
        <v>10.677966101694915</v>
      </c>
      <c r="F820" s="38">
        <v>70</v>
      </c>
    </row>
    <row r="821" spans="2:6" ht="11.25">
      <c r="B821" s="44" t="s">
        <v>909</v>
      </c>
      <c r="C821" s="36" t="s">
        <v>3</v>
      </c>
      <c r="D821" s="30"/>
      <c r="E821" s="31">
        <f t="shared" si="41"/>
        <v>12.35593220338983</v>
      </c>
      <c r="F821" s="38">
        <v>81</v>
      </c>
    </row>
    <row r="822" spans="2:6" ht="11.25">
      <c r="B822" s="44" t="s">
        <v>910</v>
      </c>
      <c r="C822" s="36" t="s">
        <v>3</v>
      </c>
      <c r="D822" s="30"/>
      <c r="E822" s="31">
        <f t="shared" si="41"/>
        <v>12.966101694915254</v>
      </c>
      <c r="F822" s="38">
        <v>85</v>
      </c>
    </row>
    <row r="823" spans="2:6" ht="11.25">
      <c r="C823" s="36"/>
      <c r="D823" s="30"/>
      <c r="E823" s="31"/>
      <c r="F823" s="41"/>
    </row>
    <row r="824" spans="2:6" ht="11.25">
      <c r="B824" s="32" t="s">
        <v>911</v>
      </c>
      <c r="C824" s="36"/>
      <c r="D824" s="30"/>
      <c r="E824" s="31"/>
      <c r="F824" s="41"/>
    </row>
    <row r="825" spans="2:6" ht="11.25">
      <c r="B825" s="44" t="s">
        <v>912</v>
      </c>
      <c r="C825" s="36" t="s">
        <v>3</v>
      </c>
      <c r="D825" s="30"/>
      <c r="E825" s="31">
        <f t="shared" ref="E825:E888" si="42">+F825*0.18/1.18</f>
        <v>118.67796610169492</v>
      </c>
      <c r="F825" s="38">
        <v>778</v>
      </c>
    </row>
    <row r="826" spans="2:6" ht="11.25">
      <c r="B826" s="44" t="s">
        <v>913</v>
      </c>
      <c r="C826" s="36" t="s">
        <v>3</v>
      </c>
      <c r="D826" s="30"/>
      <c r="E826" s="31">
        <f t="shared" si="42"/>
        <v>136.52542372881356</v>
      </c>
      <c r="F826" s="38">
        <v>895</v>
      </c>
    </row>
    <row r="827" spans="2:6" ht="11.25">
      <c r="B827" s="44" t="s">
        <v>914</v>
      </c>
      <c r="C827" s="36" t="s">
        <v>3</v>
      </c>
      <c r="D827" s="30"/>
      <c r="E827" s="31">
        <f t="shared" si="42"/>
        <v>188.38983050847457</v>
      </c>
      <c r="F827" s="38">
        <v>1235</v>
      </c>
    </row>
    <row r="828" spans="2:6" ht="11.25">
      <c r="B828" s="44" t="s">
        <v>915</v>
      </c>
      <c r="C828" s="36" t="s">
        <v>3</v>
      </c>
      <c r="D828" s="30"/>
      <c r="E828" s="31">
        <f t="shared" si="42"/>
        <v>312.71186440677968</v>
      </c>
      <c r="F828" s="38">
        <v>2050</v>
      </c>
    </row>
    <row r="829" spans="2:6" ht="11.25">
      <c r="B829" s="44" t="s">
        <v>916</v>
      </c>
      <c r="C829" s="36" t="s">
        <v>3</v>
      </c>
      <c r="D829" s="30"/>
      <c r="E829" s="31">
        <f t="shared" si="42"/>
        <v>388.22033898305085</v>
      </c>
      <c r="F829" s="38">
        <v>2545</v>
      </c>
    </row>
    <row r="830" spans="2:6" ht="11.25">
      <c r="B830" s="44" t="s">
        <v>917</v>
      </c>
      <c r="C830" s="36" t="s">
        <v>3</v>
      </c>
      <c r="D830" s="37">
        <f>+F830-E830</f>
        <v>3150</v>
      </c>
      <c r="E830" s="31">
        <f t="shared" si="42"/>
        <v>567</v>
      </c>
      <c r="F830" s="38">
        <v>3717</v>
      </c>
    </row>
    <row r="831" spans="2:6" ht="11.25">
      <c r="B831" s="44" t="s">
        <v>918</v>
      </c>
      <c r="C831" s="36" t="s">
        <v>3</v>
      </c>
      <c r="D831" s="30"/>
      <c r="E831" s="31">
        <f t="shared" si="42"/>
        <v>769.5</v>
      </c>
      <c r="F831" s="38">
        <v>5044.5</v>
      </c>
    </row>
    <row r="832" spans="2:6" ht="11.25">
      <c r="B832" s="44" t="s">
        <v>919</v>
      </c>
      <c r="C832" s="36" t="s">
        <v>3</v>
      </c>
      <c r="D832" s="30"/>
      <c r="E832" s="31">
        <f t="shared" si="42"/>
        <v>4.0423728813559316</v>
      </c>
      <c r="F832" s="38">
        <v>26.5</v>
      </c>
    </row>
    <row r="833" spans="2:6" ht="11.25">
      <c r="B833" s="44" t="s">
        <v>920</v>
      </c>
      <c r="C833" s="36" t="s">
        <v>3</v>
      </c>
      <c r="D833" s="30"/>
      <c r="E833" s="31">
        <f t="shared" si="42"/>
        <v>5.796610169491526</v>
      </c>
      <c r="F833" s="38">
        <v>38</v>
      </c>
    </row>
    <row r="834" spans="2:6" ht="11.25">
      <c r="B834" s="44" t="s">
        <v>921</v>
      </c>
      <c r="C834" s="36" t="s">
        <v>3</v>
      </c>
      <c r="D834" s="30"/>
      <c r="E834" s="31">
        <f t="shared" si="42"/>
        <v>7.2579661016949153</v>
      </c>
      <c r="F834" s="38">
        <v>47.58</v>
      </c>
    </row>
    <row r="835" spans="2:6" ht="11.25">
      <c r="B835" s="44" t="s">
        <v>922</v>
      </c>
      <c r="C835" s="36" t="s">
        <v>3</v>
      </c>
      <c r="D835" s="30"/>
      <c r="E835" s="31">
        <f t="shared" si="42"/>
        <v>17.694915254237287</v>
      </c>
      <c r="F835" s="38">
        <v>116</v>
      </c>
    </row>
    <row r="836" spans="2:6" ht="11.25">
      <c r="B836" s="44" t="s">
        <v>923</v>
      </c>
      <c r="C836" s="36" t="s">
        <v>3</v>
      </c>
      <c r="D836" s="30"/>
      <c r="E836" s="31">
        <f t="shared" si="42"/>
        <v>20.898305084745765</v>
      </c>
      <c r="F836" s="38">
        <v>137</v>
      </c>
    </row>
    <row r="837" spans="2:6" ht="11.25">
      <c r="B837" s="44" t="s">
        <v>924</v>
      </c>
      <c r="C837" s="36" t="s">
        <v>3</v>
      </c>
      <c r="D837" s="30"/>
      <c r="E837" s="31">
        <f t="shared" si="42"/>
        <v>68.33898305084746</v>
      </c>
      <c r="F837" s="38">
        <v>448</v>
      </c>
    </row>
    <row r="838" spans="2:6" ht="11.25">
      <c r="B838" s="44" t="s">
        <v>925</v>
      </c>
      <c r="C838" s="36" t="s">
        <v>3</v>
      </c>
      <c r="D838" s="30"/>
      <c r="E838" s="31">
        <f t="shared" si="42"/>
        <v>133.62711864406782</v>
      </c>
      <c r="F838" s="38">
        <v>876</v>
      </c>
    </row>
    <row r="839" spans="2:6" ht="11.25">
      <c r="B839" s="44" t="s">
        <v>926</v>
      </c>
      <c r="C839" s="36" t="s">
        <v>3</v>
      </c>
      <c r="D839" s="30"/>
      <c r="E839" s="31">
        <f t="shared" si="42"/>
        <v>11.898305084745763</v>
      </c>
      <c r="F839" s="38">
        <v>78</v>
      </c>
    </row>
    <row r="840" spans="2:6" ht="11.25">
      <c r="B840" s="44" t="s">
        <v>927</v>
      </c>
      <c r="C840" s="36" t="s">
        <v>3</v>
      </c>
      <c r="D840" s="30"/>
      <c r="E840" s="31">
        <f t="shared" si="42"/>
        <v>6.8644067796610173</v>
      </c>
      <c r="F840" s="38">
        <v>45</v>
      </c>
    </row>
    <row r="841" spans="2:6" ht="11.25">
      <c r="B841" s="44" t="s">
        <v>928</v>
      </c>
      <c r="C841" s="36" t="s">
        <v>3</v>
      </c>
      <c r="D841" s="30"/>
      <c r="E841" s="31">
        <f t="shared" si="42"/>
        <v>11.135593220338983</v>
      </c>
      <c r="F841" s="38">
        <v>73</v>
      </c>
    </row>
    <row r="842" spans="2:6" ht="11.25">
      <c r="B842" s="44" t="s">
        <v>929</v>
      </c>
      <c r="C842" s="36" t="s">
        <v>3</v>
      </c>
      <c r="D842" s="30"/>
      <c r="E842" s="31">
        <f t="shared" si="42"/>
        <v>20.654237288135594</v>
      </c>
      <c r="F842" s="38">
        <v>135.4</v>
      </c>
    </row>
    <row r="843" spans="2:6" ht="11.25">
      <c r="B843" s="44" t="s">
        <v>930</v>
      </c>
      <c r="C843" s="36" t="s">
        <v>3</v>
      </c>
      <c r="D843" s="30"/>
      <c r="E843" s="31">
        <f t="shared" si="42"/>
        <v>28.983050847457626</v>
      </c>
      <c r="F843" s="38">
        <v>190</v>
      </c>
    </row>
    <row r="844" spans="2:6" ht="11.25">
      <c r="B844" s="44" t="s">
        <v>931</v>
      </c>
      <c r="C844" s="36" t="s">
        <v>3</v>
      </c>
      <c r="D844" s="30"/>
      <c r="E844" s="31">
        <f t="shared" si="42"/>
        <v>4.68</v>
      </c>
      <c r="F844" s="38">
        <v>30.68</v>
      </c>
    </row>
    <row r="845" spans="2:6" ht="11.25">
      <c r="B845" s="44" t="s">
        <v>932</v>
      </c>
      <c r="C845" s="36" t="s">
        <v>3</v>
      </c>
      <c r="D845" s="30"/>
      <c r="E845" s="31">
        <f t="shared" si="42"/>
        <v>6.7011864406779669</v>
      </c>
      <c r="F845" s="38">
        <v>43.93</v>
      </c>
    </row>
    <row r="846" spans="2:6" ht="11.25">
      <c r="B846" s="44" t="s">
        <v>933</v>
      </c>
      <c r="C846" s="36" t="s">
        <v>3</v>
      </c>
      <c r="D846" s="30"/>
      <c r="E846" s="31">
        <f t="shared" si="42"/>
        <v>9.5384745762711862</v>
      </c>
      <c r="F846" s="38">
        <v>62.53</v>
      </c>
    </row>
    <row r="847" spans="2:6" ht="11.25">
      <c r="B847" s="44" t="s">
        <v>934</v>
      </c>
      <c r="C847" s="36" t="s">
        <v>3</v>
      </c>
      <c r="D847" s="30"/>
      <c r="E847" s="31">
        <f t="shared" si="42"/>
        <v>18.900000000000002</v>
      </c>
      <c r="F847" s="38">
        <v>123.9</v>
      </c>
    </row>
    <row r="848" spans="2:6" ht="11.25">
      <c r="B848" s="44" t="s">
        <v>935</v>
      </c>
      <c r="C848" s="36" t="s">
        <v>3</v>
      </c>
      <c r="D848" s="30"/>
      <c r="E848" s="31">
        <f t="shared" si="42"/>
        <v>21.182033898305086</v>
      </c>
      <c r="F848" s="38">
        <v>138.86000000000001</v>
      </c>
    </row>
    <row r="849" spans="2:6" ht="11.25">
      <c r="B849" s="44" t="s">
        <v>936</v>
      </c>
      <c r="C849" s="36" t="s">
        <v>3</v>
      </c>
      <c r="D849" s="30"/>
      <c r="E849" s="31">
        <f t="shared" si="42"/>
        <v>80.624745762711868</v>
      </c>
      <c r="F849" s="38">
        <v>528.54</v>
      </c>
    </row>
    <row r="850" spans="2:6" ht="11.25">
      <c r="B850" s="44" t="s">
        <v>937</v>
      </c>
      <c r="C850" s="36" t="s">
        <v>3</v>
      </c>
      <c r="D850" s="30"/>
      <c r="E850" s="31">
        <f t="shared" si="42"/>
        <v>99.152542372881356</v>
      </c>
      <c r="F850" s="38">
        <v>650</v>
      </c>
    </row>
    <row r="851" spans="2:6" ht="11.25">
      <c r="B851" s="44" t="s">
        <v>938</v>
      </c>
      <c r="C851" s="36" t="s">
        <v>3</v>
      </c>
      <c r="D851" s="30"/>
      <c r="E851" s="31">
        <f t="shared" si="42"/>
        <v>4.32</v>
      </c>
      <c r="F851" s="38">
        <v>28.32</v>
      </c>
    </row>
    <row r="852" spans="2:6" ht="11.25">
      <c r="B852" s="44" t="s">
        <v>939</v>
      </c>
      <c r="C852" s="36" t="s">
        <v>3</v>
      </c>
      <c r="D852" s="30"/>
      <c r="E852" s="31">
        <f t="shared" si="42"/>
        <v>4.5</v>
      </c>
      <c r="F852" s="38">
        <v>29.5</v>
      </c>
    </row>
    <row r="853" spans="2:6" ht="11.25">
      <c r="B853" s="44" t="s">
        <v>940</v>
      </c>
      <c r="C853" s="36" t="s">
        <v>3</v>
      </c>
      <c r="D853" s="30"/>
      <c r="E853" s="31">
        <f t="shared" si="42"/>
        <v>5.6608474576271179</v>
      </c>
      <c r="F853" s="38">
        <v>37.11</v>
      </c>
    </row>
    <row r="854" spans="2:6" ht="11.25">
      <c r="B854" s="44" t="s">
        <v>941</v>
      </c>
      <c r="C854" s="36" t="s">
        <v>3</v>
      </c>
      <c r="D854" s="30"/>
      <c r="E854" s="31">
        <f t="shared" si="42"/>
        <v>12.046271186440677</v>
      </c>
      <c r="F854" s="38">
        <v>78.97</v>
      </c>
    </row>
    <row r="855" spans="2:6" ht="11.25">
      <c r="B855" s="44" t="s">
        <v>942</v>
      </c>
      <c r="C855" s="36" t="s">
        <v>3</v>
      </c>
      <c r="D855" s="30"/>
      <c r="E855" s="31">
        <f t="shared" si="42"/>
        <v>15.693559322033899</v>
      </c>
      <c r="F855" s="38">
        <v>102.88</v>
      </c>
    </row>
    <row r="856" spans="2:6" ht="11.25">
      <c r="B856" s="44" t="s">
        <v>943</v>
      </c>
      <c r="C856" s="36" t="s">
        <v>3</v>
      </c>
      <c r="D856" s="30"/>
      <c r="E856" s="31">
        <f t="shared" si="42"/>
        <v>33.559322033898312</v>
      </c>
      <c r="F856" s="38">
        <v>220</v>
      </c>
    </row>
    <row r="857" spans="2:6" ht="11.25">
      <c r="B857" s="44" t="s">
        <v>944</v>
      </c>
      <c r="C857" s="36" t="s">
        <v>3</v>
      </c>
      <c r="D857" s="30"/>
      <c r="E857" s="31">
        <f t="shared" si="42"/>
        <v>51.865932203389832</v>
      </c>
      <c r="F857" s="38">
        <v>340.01</v>
      </c>
    </row>
    <row r="858" spans="2:6" ht="11.25">
      <c r="B858" s="44" t="s">
        <v>945</v>
      </c>
      <c r="C858" s="36" t="s">
        <v>3</v>
      </c>
      <c r="D858" s="30"/>
      <c r="E858" s="31">
        <f t="shared" si="42"/>
        <v>9.4103389830508473</v>
      </c>
      <c r="F858" s="38">
        <v>61.69</v>
      </c>
    </row>
    <row r="859" spans="2:6" ht="11.25">
      <c r="B859" s="44" t="s">
        <v>946</v>
      </c>
      <c r="C859" s="36" t="s">
        <v>3</v>
      </c>
      <c r="D859" s="30"/>
      <c r="E859" s="31">
        <f t="shared" si="42"/>
        <v>8.196101694915253</v>
      </c>
      <c r="F859" s="38">
        <v>53.73</v>
      </c>
    </row>
    <row r="860" spans="2:6" ht="11.25">
      <c r="B860" s="44" t="s">
        <v>947</v>
      </c>
      <c r="C860" s="36" t="s">
        <v>3</v>
      </c>
      <c r="D860" s="30"/>
      <c r="E860" s="31">
        <f t="shared" si="42"/>
        <v>6.9971186440677959</v>
      </c>
      <c r="F860" s="38">
        <v>45.87</v>
      </c>
    </row>
    <row r="861" spans="2:6" ht="11.25">
      <c r="B861" s="44" t="s">
        <v>948</v>
      </c>
      <c r="C861" s="36" t="s">
        <v>3</v>
      </c>
      <c r="D861" s="30"/>
      <c r="E861" s="31">
        <f t="shared" si="42"/>
        <v>5.3603389830508474</v>
      </c>
      <c r="F861" s="38">
        <v>35.14</v>
      </c>
    </row>
    <row r="862" spans="2:6" ht="11.25">
      <c r="B862" s="44" t="s">
        <v>949</v>
      </c>
      <c r="C862" s="36" t="s">
        <v>3</v>
      </c>
      <c r="D862" s="30"/>
      <c r="E862" s="31">
        <f t="shared" si="42"/>
        <v>4.5747457627118644</v>
      </c>
      <c r="F862" s="38">
        <v>29.99</v>
      </c>
    </row>
    <row r="863" spans="2:6" ht="11.25">
      <c r="B863" s="44" t="s">
        <v>950</v>
      </c>
      <c r="C863" s="36" t="s">
        <v>3</v>
      </c>
      <c r="D863" s="30"/>
      <c r="E863" s="31">
        <f t="shared" si="42"/>
        <v>4.0347457627118644</v>
      </c>
      <c r="F863" s="38">
        <v>26.45</v>
      </c>
    </row>
    <row r="864" spans="2:6" ht="11.25">
      <c r="B864" s="44" t="s">
        <v>951</v>
      </c>
      <c r="C864" s="36" t="s">
        <v>3</v>
      </c>
      <c r="D864" s="30"/>
      <c r="E864" s="31">
        <f t="shared" si="42"/>
        <v>3.0508474576271185</v>
      </c>
      <c r="F864" s="38">
        <v>20</v>
      </c>
    </row>
    <row r="865" spans="2:6" ht="11.25">
      <c r="B865" s="44" t="s">
        <v>952</v>
      </c>
      <c r="C865" s="36" t="s">
        <v>3</v>
      </c>
      <c r="D865" s="30"/>
      <c r="E865" s="31">
        <f t="shared" si="42"/>
        <v>2.9944067796610172</v>
      </c>
      <c r="F865" s="38">
        <v>19.63</v>
      </c>
    </row>
    <row r="866" spans="2:6" ht="11.25">
      <c r="B866" s="44" t="s">
        <v>953</v>
      </c>
      <c r="C866" s="36" t="s">
        <v>3</v>
      </c>
      <c r="D866" s="30"/>
      <c r="E866" s="31">
        <f t="shared" si="42"/>
        <v>2.7533898305084747</v>
      </c>
      <c r="F866" s="38">
        <v>18.05</v>
      </c>
    </row>
    <row r="867" spans="2:6" ht="11.25">
      <c r="B867" s="44" t="s">
        <v>954</v>
      </c>
      <c r="C867" s="36" t="s">
        <v>3</v>
      </c>
      <c r="D867" s="30"/>
      <c r="E867" s="31">
        <f t="shared" si="42"/>
        <v>2.5947457627118649</v>
      </c>
      <c r="F867" s="38">
        <v>17.010000000000002</v>
      </c>
    </row>
    <row r="868" spans="2:6" ht="11.25">
      <c r="B868" s="44" t="s">
        <v>955</v>
      </c>
      <c r="C868" s="36" t="s">
        <v>3</v>
      </c>
      <c r="D868" s="30"/>
      <c r="E868" s="31">
        <f t="shared" si="42"/>
        <v>1.9403389830508477</v>
      </c>
      <c r="F868" s="38">
        <v>12.72</v>
      </c>
    </row>
    <row r="869" spans="2:6" ht="11.25">
      <c r="B869" s="44" t="s">
        <v>956</v>
      </c>
      <c r="C869" s="36" t="s">
        <v>3</v>
      </c>
      <c r="D869" s="30"/>
      <c r="E869" s="31">
        <f t="shared" si="42"/>
        <v>14.427457627118645</v>
      </c>
      <c r="F869" s="38">
        <v>94.58</v>
      </c>
    </row>
    <row r="870" spans="2:6" ht="11.25">
      <c r="B870" s="44" t="s">
        <v>957</v>
      </c>
      <c r="C870" s="36" t="s">
        <v>3</v>
      </c>
      <c r="D870" s="30"/>
      <c r="E870" s="31">
        <f t="shared" si="42"/>
        <v>11.744237288135592</v>
      </c>
      <c r="F870" s="38">
        <v>76.989999999999995</v>
      </c>
    </row>
    <row r="871" spans="2:6" ht="11.25">
      <c r="B871" s="44" t="s">
        <v>958</v>
      </c>
      <c r="C871" s="36" t="s">
        <v>3</v>
      </c>
      <c r="D871" s="30"/>
      <c r="E871" s="31">
        <f t="shared" si="42"/>
        <v>9.3035593220338981</v>
      </c>
      <c r="F871" s="38">
        <v>60.99</v>
      </c>
    </row>
    <row r="872" spans="2:6" ht="11.25">
      <c r="B872" s="44" t="s">
        <v>959</v>
      </c>
      <c r="C872" s="36" t="s">
        <v>3</v>
      </c>
      <c r="D872" s="30"/>
      <c r="E872" s="31">
        <f t="shared" si="42"/>
        <v>6.101694915254237</v>
      </c>
      <c r="F872" s="38">
        <v>40</v>
      </c>
    </row>
    <row r="873" spans="2:6" ht="11.25">
      <c r="B873" s="44" t="s">
        <v>960</v>
      </c>
      <c r="C873" s="36" t="s">
        <v>3</v>
      </c>
      <c r="D873" s="30"/>
      <c r="E873" s="31">
        <f t="shared" si="42"/>
        <v>6.7469491525423724</v>
      </c>
      <c r="F873" s="38">
        <v>44.23</v>
      </c>
    </row>
    <row r="874" spans="2:6" ht="11.25">
      <c r="B874" s="44" t="s">
        <v>961</v>
      </c>
      <c r="C874" s="36" t="s">
        <v>3</v>
      </c>
      <c r="D874" s="30"/>
      <c r="E874" s="31">
        <f t="shared" si="42"/>
        <v>4.9622033898305089</v>
      </c>
      <c r="F874" s="38">
        <v>32.53</v>
      </c>
    </row>
    <row r="875" spans="2:6" ht="11.25">
      <c r="B875" s="44" t="s">
        <v>962</v>
      </c>
      <c r="C875" s="36" t="s">
        <v>3</v>
      </c>
      <c r="D875" s="30"/>
      <c r="E875" s="31">
        <f t="shared" si="42"/>
        <v>3.6610169491525428</v>
      </c>
      <c r="F875" s="38">
        <v>24</v>
      </c>
    </row>
    <row r="876" spans="2:6" ht="11.25">
      <c r="B876" s="44" t="s">
        <v>963</v>
      </c>
      <c r="C876" s="36" t="s">
        <v>3</v>
      </c>
      <c r="D876" s="30"/>
      <c r="E876" s="31">
        <f t="shared" si="42"/>
        <v>3.8135593220338984</v>
      </c>
      <c r="F876" s="38">
        <v>25</v>
      </c>
    </row>
    <row r="877" spans="2:6" ht="11.25">
      <c r="B877" s="44" t="s">
        <v>964</v>
      </c>
      <c r="C877" s="36" t="s">
        <v>3</v>
      </c>
      <c r="D877" s="30"/>
      <c r="E877" s="31">
        <f t="shared" si="42"/>
        <v>4.8813559322033901</v>
      </c>
      <c r="F877" s="38">
        <v>32</v>
      </c>
    </row>
    <row r="878" spans="2:6" ht="11.25">
      <c r="B878" s="44" t="s">
        <v>965</v>
      </c>
      <c r="C878" s="36" t="s">
        <v>3</v>
      </c>
      <c r="D878" s="30"/>
      <c r="E878" s="31">
        <f t="shared" si="42"/>
        <v>3.0508474576271185</v>
      </c>
      <c r="F878" s="38">
        <v>20</v>
      </c>
    </row>
    <row r="879" spans="2:6" ht="11.25">
      <c r="B879" s="44" t="s">
        <v>966</v>
      </c>
      <c r="C879" s="36" t="s">
        <v>3</v>
      </c>
      <c r="D879" s="30"/>
      <c r="E879" s="31">
        <f t="shared" si="42"/>
        <v>3.3559322033898304</v>
      </c>
      <c r="F879" s="38">
        <v>22</v>
      </c>
    </row>
    <row r="880" spans="2:6" ht="11.25">
      <c r="B880" s="44" t="s">
        <v>967</v>
      </c>
      <c r="C880" s="36" t="s">
        <v>3</v>
      </c>
      <c r="D880" s="30"/>
      <c r="E880" s="31">
        <f t="shared" si="42"/>
        <v>3.0508474576271185</v>
      </c>
      <c r="F880" s="38">
        <v>20</v>
      </c>
    </row>
    <row r="881" spans="2:6" ht="11.25">
      <c r="B881" s="44" t="s">
        <v>968</v>
      </c>
      <c r="C881" s="36" t="s">
        <v>3</v>
      </c>
      <c r="D881" s="30"/>
      <c r="E881" s="31">
        <f t="shared" si="42"/>
        <v>4.1186440677966099</v>
      </c>
      <c r="F881" s="38">
        <v>27</v>
      </c>
    </row>
    <row r="882" spans="2:6" ht="11.25">
      <c r="B882" s="44" t="s">
        <v>969</v>
      </c>
      <c r="C882" s="36" t="s">
        <v>3</v>
      </c>
      <c r="D882" s="30"/>
      <c r="E882" s="31">
        <f t="shared" si="42"/>
        <v>5.796610169491526</v>
      </c>
      <c r="F882" s="38">
        <v>38</v>
      </c>
    </row>
    <row r="883" spans="2:6" ht="11.25">
      <c r="B883" s="44" t="s">
        <v>970</v>
      </c>
      <c r="C883" s="36" t="s">
        <v>3</v>
      </c>
      <c r="D883" s="30"/>
      <c r="E883" s="31">
        <f t="shared" si="42"/>
        <v>8.3898305084745779</v>
      </c>
      <c r="F883" s="38">
        <v>55</v>
      </c>
    </row>
    <row r="884" spans="2:6" ht="11.25">
      <c r="B884" s="44" t="s">
        <v>971</v>
      </c>
      <c r="C884" s="36" t="s">
        <v>3</v>
      </c>
      <c r="D884" s="30"/>
      <c r="E884" s="31">
        <f t="shared" si="42"/>
        <v>12.203389830508474</v>
      </c>
      <c r="F884" s="38">
        <v>80</v>
      </c>
    </row>
    <row r="885" spans="2:6" ht="11.25">
      <c r="B885" s="44" t="s">
        <v>972</v>
      </c>
      <c r="C885" s="36" t="s">
        <v>3</v>
      </c>
      <c r="D885" s="30"/>
      <c r="E885" s="31">
        <f t="shared" si="42"/>
        <v>38.898305084745765</v>
      </c>
      <c r="F885" s="38">
        <v>255</v>
      </c>
    </row>
    <row r="886" spans="2:6" ht="11.25">
      <c r="B886" s="44" t="s">
        <v>973</v>
      </c>
      <c r="C886" s="36" t="s">
        <v>3</v>
      </c>
      <c r="D886" s="30"/>
      <c r="E886" s="31">
        <f t="shared" si="42"/>
        <v>44.237288135593218</v>
      </c>
      <c r="F886" s="38">
        <v>290</v>
      </c>
    </row>
    <row r="887" spans="2:6" ht="11.25">
      <c r="B887" s="44" t="s">
        <v>974</v>
      </c>
      <c r="C887" s="36" t="s">
        <v>3</v>
      </c>
      <c r="D887" s="30"/>
      <c r="E887" s="31">
        <f t="shared" si="42"/>
        <v>2.7457627118644066</v>
      </c>
      <c r="F887" s="38">
        <v>18</v>
      </c>
    </row>
    <row r="888" spans="2:6" ht="11.25">
      <c r="B888" s="44" t="s">
        <v>975</v>
      </c>
      <c r="C888" s="36" t="s">
        <v>3</v>
      </c>
      <c r="D888" s="30"/>
      <c r="E888" s="31">
        <f t="shared" si="42"/>
        <v>2.898305084745763</v>
      </c>
      <c r="F888" s="38">
        <v>19</v>
      </c>
    </row>
    <row r="889" spans="2:6" ht="11.25">
      <c r="B889" s="44" t="s">
        <v>976</v>
      </c>
      <c r="C889" s="36" t="s">
        <v>3</v>
      </c>
      <c r="D889" s="30"/>
      <c r="E889" s="31">
        <f t="shared" ref="E889:E892" si="43">+F889*0.18/1.18</f>
        <v>4.8813559322033901</v>
      </c>
      <c r="F889" s="38">
        <v>32</v>
      </c>
    </row>
    <row r="890" spans="2:6" ht="11.25">
      <c r="B890" s="44" t="s">
        <v>977</v>
      </c>
      <c r="C890" s="36" t="s">
        <v>3</v>
      </c>
      <c r="D890" s="30"/>
      <c r="E890" s="31">
        <f t="shared" si="43"/>
        <v>6.101694915254237</v>
      </c>
      <c r="F890" s="38">
        <v>40</v>
      </c>
    </row>
    <row r="891" spans="2:6" ht="11.25">
      <c r="B891" s="44" t="s">
        <v>978</v>
      </c>
      <c r="C891" s="36" t="s">
        <v>3</v>
      </c>
      <c r="D891" s="30"/>
      <c r="E891" s="31">
        <f t="shared" si="43"/>
        <v>10.028135593220338</v>
      </c>
      <c r="F891" s="38">
        <v>65.739999999999995</v>
      </c>
    </row>
    <row r="892" spans="2:6" ht="11.25">
      <c r="B892" s="44" t="s">
        <v>979</v>
      </c>
      <c r="C892" s="36" t="s">
        <v>3</v>
      </c>
      <c r="D892" s="30"/>
      <c r="E892" s="31">
        <f t="shared" si="43"/>
        <v>31.271186440677965</v>
      </c>
      <c r="F892" s="38">
        <v>205</v>
      </c>
    </row>
    <row r="893" spans="2:6" ht="11.25">
      <c r="C893" s="36"/>
      <c r="D893" s="30"/>
      <c r="E893" s="31"/>
      <c r="F893" s="41"/>
    </row>
    <row r="894" spans="2:6" ht="11.25">
      <c r="B894" s="32" t="s">
        <v>980</v>
      </c>
      <c r="D894" s="30"/>
      <c r="E894" s="31"/>
      <c r="F894" s="30"/>
    </row>
    <row r="895" spans="2:6" ht="11.25">
      <c r="B895" s="44" t="s">
        <v>981</v>
      </c>
      <c r="C895" s="36" t="s">
        <v>3</v>
      </c>
      <c r="D895" s="30"/>
      <c r="E895" s="31">
        <f t="shared" ref="E895:E958" si="44">+F895*0.18/1.18</f>
        <v>503.38983050847463</v>
      </c>
      <c r="F895" s="38">
        <v>3300</v>
      </c>
    </row>
    <row r="896" spans="2:6" ht="11.25">
      <c r="B896" s="44" t="s">
        <v>982</v>
      </c>
      <c r="C896" s="36" t="s">
        <v>3</v>
      </c>
      <c r="D896" s="30"/>
      <c r="E896" s="31">
        <f t="shared" si="44"/>
        <v>2098.3728813559323</v>
      </c>
      <c r="F896" s="38">
        <v>13756</v>
      </c>
    </row>
    <row r="897" spans="2:6" ht="11.25">
      <c r="B897" s="44" t="s">
        <v>983</v>
      </c>
      <c r="C897" s="36" t="s">
        <v>3</v>
      </c>
      <c r="D897" s="30"/>
      <c r="E897" s="31">
        <f t="shared" si="44"/>
        <v>2150.8474576271187</v>
      </c>
      <c r="F897" s="38">
        <v>14100</v>
      </c>
    </row>
    <row r="898" spans="2:6" ht="11.25">
      <c r="B898" s="44" t="s">
        <v>984</v>
      </c>
      <c r="C898" s="36" t="s">
        <v>3</v>
      </c>
      <c r="D898" s="30"/>
      <c r="E898" s="31">
        <f t="shared" si="44"/>
        <v>781.77966101694915</v>
      </c>
      <c r="F898" s="38">
        <v>5125</v>
      </c>
    </row>
    <row r="899" spans="2:6" ht="11.25">
      <c r="B899" s="44" t="s">
        <v>985</v>
      </c>
      <c r="C899" s="36" t="s">
        <v>3</v>
      </c>
      <c r="D899" s="30"/>
      <c r="E899" s="31">
        <f t="shared" si="44"/>
        <v>1646.6964406779662</v>
      </c>
      <c r="F899" s="38">
        <v>10795.01</v>
      </c>
    </row>
    <row r="900" spans="2:6" ht="11.25">
      <c r="B900" s="44" t="s">
        <v>986</v>
      </c>
      <c r="C900" s="36" t="s">
        <v>3</v>
      </c>
      <c r="D900" s="30"/>
      <c r="E900" s="31">
        <f t="shared" si="44"/>
        <v>1524.6610169491526</v>
      </c>
      <c r="F900" s="38">
        <v>9995</v>
      </c>
    </row>
    <row r="901" spans="2:6" ht="11.25">
      <c r="B901" s="44" t="s">
        <v>987</v>
      </c>
      <c r="C901" s="36" t="s">
        <v>3</v>
      </c>
      <c r="D901" s="30"/>
      <c r="E901" s="31">
        <f t="shared" si="44"/>
        <v>1890.7627118644068</v>
      </c>
      <c r="F901" s="38">
        <v>12395</v>
      </c>
    </row>
    <row r="902" spans="2:6" ht="11.25">
      <c r="B902" s="44" t="s">
        <v>988</v>
      </c>
      <c r="C902" s="36" t="s">
        <v>3</v>
      </c>
      <c r="D902" s="30"/>
      <c r="E902" s="31">
        <f t="shared" si="44"/>
        <v>739.83050847457628</v>
      </c>
      <c r="F902" s="38">
        <v>4850</v>
      </c>
    </row>
    <row r="903" spans="2:6" ht="11.25">
      <c r="B903" s="44" t="s">
        <v>989</v>
      </c>
      <c r="C903" s="36" t="s">
        <v>3</v>
      </c>
      <c r="D903" s="30"/>
      <c r="E903" s="31">
        <f t="shared" si="44"/>
        <v>1509.2542372881355</v>
      </c>
      <c r="F903" s="38">
        <v>9894</v>
      </c>
    </row>
    <row r="904" spans="2:6" ht="11.25">
      <c r="B904" s="44" t="s">
        <v>990</v>
      </c>
      <c r="C904" s="36" t="s">
        <v>3</v>
      </c>
      <c r="D904" s="30"/>
      <c r="E904" s="31">
        <f t="shared" si="44"/>
        <v>4453.4745762711864</v>
      </c>
      <c r="F904" s="38">
        <v>29195</v>
      </c>
    </row>
    <row r="905" spans="2:6" ht="11.25">
      <c r="B905" s="44" t="s">
        <v>991</v>
      </c>
      <c r="C905" s="36" t="s">
        <v>3</v>
      </c>
      <c r="D905" s="30"/>
      <c r="E905" s="31">
        <f t="shared" si="44"/>
        <v>136.52542372881356</v>
      </c>
      <c r="F905" s="38">
        <v>895</v>
      </c>
    </row>
    <row r="906" spans="2:6" ht="11.25">
      <c r="B906" s="44" t="s">
        <v>992</v>
      </c>
      <c r="C906" s="36" t="s">
        <v>3</v>
      </c>
      <c r="D906" s="30"/>
      <c r="E906" s="31">
        <f t="shared" si="44"/>
        <v>358.47457627118644</v>
      </c>
      <c r="F906" s="38">
        <v>2350</v>
      </c>
    </row>
    <row r="907" spans="2:6" ht="11.25">
      <c r="B907" s="44" t="s">
        <v>993</v>
      </c>
      <c r="C907" s="36" t="s">
        <v>3</v>
      </c>
      <c r="D907" s="30"/>
      <c r="E907" s="31">
        <f t="shared" si="44"/>
        <v>396.61016949152543</v>
      </c>
      <c r="F907" s="38">
        <v>2600</v>
      </c>
    </row>
    <row r="908" spans="2:6" ht="11.25">
      <c r="B908" s="44" t="s">
        <v>994</v>
      </c>
      <c r="C908" s="36" t="s">
        <v>3</v>
      </c>
      <c r="D908" s="30"/>
      <c r="E908" s="31">
        <f t="shared" si="44"/>
        <v>251.69491525423732</v>
      </c>
      <c r="F908" s="38">
        <v>1650</v>
      </c>
    </row>
    <row r="909" spans="2:6" ht="11.25">
      <c r="B909" s="44" t="s">
        <v>995</v>
      </c>
      <c r="C909" s="36" t="s">
        <v>3</v>
      </c>
      <c r="D909" s="30"/>
      <c r="E909" s="31">
        <f t="shared" si="44"/>
        <v>304.32203389830505</v>
      </c>
      <c r="F909" s="38">
        <v>1995</v>
      </c>
    </row>
    <row r="910" spans="2:6" ht="11.25">
      <c r="B910" s="44" t="s">
        <v>996</v>
      </c>
      <c r="C910" s="36" t="s">
        <v>3</v>
      </c>
      <c r="D910" s="30"/>
      <c r="E910" s="31">
        <f t="shared" si="44"/>
        <v>456.86440677966107</v>
      </c>
      <c r="F910" s="38">
        <v>2995</v>
      </c>
    </row>
    <row r="911" spans="2:6" ht="11.25">
      <c r="B911" s="44" t="s">
        <v>997</v>
      </c>
      <c r="C911" s="36" t="s">
        <v>3</v>
      </c>
      <c r="D911" s="30"/>
      <c r="E911" s="31">
        <f t="shared" si="44"/>
        <v>739.83050847457628</v>
      </c>
      <c r="F911" s="38">
        <v>4850</v>
      </c>
    </row>
    <row r="912" spans="2:6" ht="11.25">
      <c r="B912" s="44" t="s">
        <v>998</v>
      </c>
      <c r="C912" s="36" t="s">
        <v>3</v>
      </c>
      <c r="D912" s="30"/>
      <c r="E912" s="31">
        <f t="shared" si="44"/>
        <v>568.22033898305085</v>
      </c>
      <c r="F912" s="38">
        <v>3725</v>
      </c>
    </row>
    <row r="913" spans="2:6" ht="11.25">
      <c r="B913" s="44" t="s">
        <v>999</v>
      </c>
      <c r="C913" s="36" t="s">
        <v>3</v>
      </c>
      <c r="D913" s="30"/>
      <c r="E913" s="31">
        <f t="shared" si="44"/>
        <v>270.76271186440681</v>
      </c>
      <c r="F913" s="38">
        <v>1775</v>
      </c>
    </row>
    <row r="914" spans="2:6" ht="11.25">
      <c r="B914" s="44" t="s">
        <v>1000</v>
      </c>
      <c r="C914" s="36" t="s">
        <v>3</v>
      </c>
      <c r="D914" s="30"/>
      <c r="E914" s="31">
        <f t="shared" si="44"/>
        <v>985.11864406779671</v>
      </c>
      <c r="F914" s="38">
        <v>6458</v>
      </c>
    </row>
    <row r="915" spans="2:6" ht="11.25">
      <c r="B915" s="44" t="s">
        <v>1001</v>
      </c>
      <c r="C915" s="36" t="s">
        <v>3</v>
      </c>
      <c r="D915" s="30"/>
      <c r="E915" s="31">
        <f t="shared" si="44"/>
        <v>1137.7494915254238</v>
      </c>
      <c r="F915" s="38">
        <v>7458.58</v>
      </c>
    </row>
    <row r="916" spans="2:6" ht="11.25">
      <c r="B916" s="44" t="s">
        <v>1002</v>
      </c>
      <c r="C916" s="36" t="s">
        <v>3</v>
      </c>
      <c r="D916" s="30"/>
      <c r="E916" s="31">
        <f t="shared" si="44"/>
        <v>611.69491525423723</v>
      </c>
      <c r="F916" s="38">
        <v>4010</v>
      </c>
    </row>
    <row r="917" spans="2:6" ht="11.25">
      <c r="B917" s="44" t="s">
        <v>1003</v>
      </c>
      <c r="C917" s="36" t="s">
        <v>3</v>
      </c>
      <c r="D917" s="30"/>
      <c r="E917" s="31">
        <f t="shared" si="44"/>
        <v>2143.1944067796612</v>
      </c>
      <c r="F917" s="38">
        <v>14049.83</v>
      </c>
    </row>
    <row r="918" spans="2:6" ht="11.25">
      <c r="B918" s="44" t="s">
        <v>1004</v>
      </c>
      <c r="C918" s="36" t="s">
        <v>3</v>
      </c>
      <c r="D918" s="30"/>
      <c r="E918" s="31">
        <f t="shared" si="44"/>
        <v>1531.6550847457629</v>
      </c>
      <c r="F918" s="38">
        <v>10040.85</v>
      </c>
    </row>
    <row r="919" spans="2:6" ht="11.25">
      <c r="B919" s="44" t="s">
        <v>1005</v>
      </c>
      <c r="C919" s="36" t="s">
        <v>3</v>
      </c>
      <c r="D919" s="30"/>
      <c r="E919" s="31">
        <f t="shared" si="44"/>
        <v>602.54237288135596</v>
      </c>
      <c r="F919" s="38">
        <v>3950</v>
      </c>
    </row>
    <row r="920" spans="2:6" ht="11.25">
      <c r="B920" s="44" t="s">
        <v>1006</v>
      </c>
      <c r="C920" s="36" t="s">
        <v>3</v>
      </c>
      <c r="D920" s="30"/>
      <c r="E920" s="31">
        <f t="shared" si="44"/>
        <v>266.18644067796606</v>
      </c>
      <c r="F920" s="38">
        <v>1745</v>
      </c>
    </row>
    <row r="921" spans="2:6" ht="11.25">
      <c r="B921" s="44" t="s">
        <v>1007</v>
      </c>
      <c r="C921" s="36" t="s">
        <v>3</v>
      </c>
      <c r="D921" s="30"/>
      <c r="E921" s="31">
        <f t="shared" si="44"/>
        <v>731.4406779661017</v>
      </c>
      <c r="F921" s="38">
        <v>4795</v>
      </c>
    </row>
    <row r="922" spans="2:6" ht="11.25">
      <c r="B922" s="44" t="s">
        <v>1008</v>
      </c>
      <c r="C922" s="36" t="s">
        <v>3</v>
      </c>
      <c r="D922" s="30"/>
      <c r="E922" s="31">
        <f t="shared" si="44"/>
        <v>456.86440677966107</v>
      </c>
      <c r="F922" s="38">
        <v>2995</v>
      </c>
    </row>
    <row r="923" spans="2:6" ht="11.25">
      <c r="B923" s="44" t="s">
        <v>1009</v>
      </c>
      <c r="C923" s="36" t="s">
        <v>3</v>
      </c>
      <c r="D923" s="37">
        <f>+F923-E923</f>
        <v>1097.457627118644</v>
      </c>
      <c r="E923" s="31">
        <f t="shared" si="44"/>
        <v>197.54237288135593</v>
      </c>
      <c r="F923" s="38">
        <v>1295</v>
      </c>
    </row>
    <row r="924" spans="2:6" ht="11.25">
      <c r="B924" s="44" t="s">
        <v>1010</v>
      </c>
      <c r="C924" s="36" t="s">
        <v>3</v>
      </c>
      <c r="D924" s="30"/>
      <c r="E924" s="31">
        <f t="shared" si="44"/>
        <v>302.79661016949154</v>
      </c>
      <c r="F924" s="38">
        <v>1985</v>
      </c>
    </row>
    <row r="925" spans="2:6" ht="11.25">
      <c r="B925" s="44" t="s">
        <v>1011</v>
      </c>
      <c r="C925" s="36" t="s">
        <v>3</v>
      </c>
      <c r="D925" s="30"/>
      <c r="E925" s="31">
        <f t="shared" si="44"/>
        <v>251.69491525423732</v>
      </c>
      <c r="F925" s="38">
        <v>1650</v>
      </c>
    </row>
    <row r="926" spans="2:6" ht="11.25">
      <c r="B926" s="44" t="s">
        <v>1012</v>
      </c>
      <c r="C926" s="36" t="s">
        <v>3</v>
      </c>
      <c r="D926" s="30"/>
      <c r="E926" s="31">
        <f t="shared" si="44"/>
        <v>434.74576271186442</v>
      </c>
      <c r="F926" s="38">
        <v>2850</v>
      </c>
    </row>
    <row r="927" spans="2:6" ht="11.25">
      <c r="B927" s="44" t="s">
        <v>1013</v>
      </c>
      <c r="C927" s="36" t="s">
        <v>3</v>
      </c>
      <c r="D927" s="30"/>
      <c r="E927" s="31">
        <f t="shared" si="44"/>
        <v>1326.3544067796611</v>
      </c>
      <c r="F927" s="38">
        <v>8694.99</v>
      </c>
    </row>
    <row r="928" spans="2:6" ht="11.25">
      <c r="B928" s="44" t="s">
        <v>1014</v>
      </c>
      <c r="C928" s="36" t="s">
        <v>3</v>
      </c>
      <c r="D928" s="30"/>
      <c r="E928" s="31">
        <f t="shared" si="44"/>
        <v>1509.2542372881355</v>
      </c>
      <c r="F928" s="38">
        <v>9894</v>
      </c>
    </row>
    <row r="929" spans="2:6" ht="11.25">
      <c r="B929" s="44" t="s">
        <v>1015</v>
      </c>
      <c r="C929" s="36" t="s">
        <v>3</v>
      </c>
      <c r="D929" s="30"/>
      <c r="E929" s="31">
        <f t="shared" si="44"/>
        <v>1670.3389830508474</v>
      </c>
      <c r="F929" s="38">
        <v>10950</v>
      </c>
    </row>
    <row r="930" spans="2:6" ht="11.25">
      <c r="B930" s="44" t="s">
        <v>1016</v>
      </c>
      <c r="C930" s="36" t="s">
        <v>3</v>
      </c>
      <c r="D930" s="30"/>
      <c r="E930" s="31">
        <f t="shared" si="44"/>
        <v>655.8940677966101</v>
      </c>
      <c r="F930" s="38">
        <v>4299.75</v>
      </c>
    </row>
    <row r="931" spans="2:6" ht="11.25">
      <c r="B931" s="44" t="s">
        <v>1017</v>
      </c>
      <c r="C931" s="36" t="s">
        <v>3</v>
      </c>
      <c r="D931" s="30"/>
      <c r="E931" s="31">
        <f t="shared" si="44"/>
        <v>848.09745762711873</v>
      </c>
      <c r="F931" s="38">
        <v>5559.75</v>
      </c>
    </row>
    <row r="932" spans="2:6" ht="11.25">
      <c r="B932" s="44" t="s">
        <v>1018</v>
      </c>
      <c r="C932" s="36" t="s">
        <v>3</v>
      </c>
      <c r="D932" s="30"/>
      <c r="E932" s="31">
        <f t="shared" si="44"/>
        <v>838.22033898305085</v>
      </c>
      <c r="F932" s="38">
        <v>5495</v>
      </c>
    </row>
    <row r="933" spans="2:6" ht="11.25">
      <c r="B933" s="44" t="s">
        <v>1019</v>
      </c>
      <c r="C933" s="36" t="s">
        <v>3</v>
      </c>
      <c r="D933" s="30"/>
      <c r="E933" s="31">
        <f t="shared" si="44"/>
        <v>914.49152542372883</v>
      </c>
      <c r="F933" s="38">
        <v>5995</v>
      </c>
    </row>
    <row r="934" spans="2:6" ht="11.25">
      <c r="B934" s="44" t="s">
        <v>1020</v>
      </c>
      <c r="C934" s="36" t="s">
        <v>3</v>
      </c>
      <c r="D934" s="30"/>
      <c r="E934" s="31">
        <f t="shared" si="44"/>
        <v>609.40525423728809</v>
      </c>
      <c r="F934" s="38">
        <v>3994.99</v>
      </c>
    </row>
    <row r="935" spans="2:6" ht="11.25">
      <c r="B935" s="44" t="s">
        <v>1021</v>
      </c>
      <c r="C935" s="36" t="s">
        <v>3</v>
      </c>
      <c r="D935" s="30"/>
      <c r="E935" s="31">
        <f t="shared" si="44"/>
        <v>358.47457627118644</v>
      </c>
      <c r="F935" s="38">
        <v>2350</v>
      </c>
    </row>
    <row r="936" spans="2:6" ht="11.25">
      <c r="B936" s="44" t="s">
        <v>1022</v>
      </c>
      <c r="C936" s="36" t="s">
        <v>3</v>
      </c>
      <c r="D936" s="30"/>
      <c r="E936" s="31">
        <f t="shared" si="44"/>
        <v>186.86440677966104</v>
      </c>
      <c r="F936" s="38">
        <v>1225</v>
      </c>
    </row>
    <row r="937" spans="2:6" ht="11.25">
      <c r="B937" s="44" t="s">
        <v>1023</v>
      </c>
      <c r="C937" s="36" t="s">
        <v>3</v>
      </c>
      <c r="D937" s="30"/>
      <c r="E937" s="31">
        <f t="shared" si="44"/>
        <v>121.42372881355934</v>
      </c>
      <c r="F937" s="38">
        <v>796</v>
      </c>
    </row>
    <row r="938" spans="2:6" ht="11.25">
      <c r="B938" s="44" t="s">
        <v>1024</v>
      </c>
      <c r="C938" s="36" t="s">
        <v>3</v>
      </c>
      <c r="D938" s="30"/>
      <c r="E938" s="31">
        <f t="shared" si="44"/>
        <v>80.084745762711876</v>
      </c>
      <c r="F938" s="38">
        <v>525</v>
      </c>
    </row>
    <row r="939" spans="2:6" ht="11.25">
      <c r="B939" s="44" t="s">
        <v>1025</v>
      </c>
      <c r="C939" s="36" t="s">
        <v>3</v>
      </c>
      <c r="D939" s="30"/>
      <c r="E939" s="31">
        <f t="shared" si="44"/>
        <v>411.10169491525426</v>
      </c>
      <c r="F939" s="38">
        <v>2695</v>
      </c>
    </row>
    <row r="940" spans="2:6" ht="11.25">
      <c r="B940" s="44" t="s">
        <v>1026</v>
      </c>
      <c r="C940" s="36" t="s">
        <v>3</v>
      </c>
      <c r="D940" s="30"/>
      <c r="E940" s="31">
        <f t="shared" si="44"/>
        <v>578.06847457627111</v>
      </c>
      <c r="F940" s="38">
        <v>3789.56</v>
      </c>
    </row>
    <row r="941" spans="2:6" ht="11.25">
      <c r="B941" s="44" t="s">
        <v>1027</v>
      </c>
      <c r="C941" s="36" t="s">
        <v>3</v>
      </c>
      <c r="D941" s="30"/>
      <c r="E941" s="31">
        <f t="shared" si="44"/>
        <v>68.644067796610173</v>
      </c>
      <c r="F941" s="38">
        <v>450</v>
      </c>
    </row>
    <row r="942" spans="2:6" ht="11.25">
      <c r="B942" s="44" t="s">
        <v>1028</v>
      </c>
      <c r="C942" s="36" t="s">
        <v>3</v>
      </c>
      <c r="D942" s="30"/>
      <c r="E942" s="31">
        <f t="shared" si="44"/>
        <v>110.59322033898306</v>
      </c>
      <c r="F942" s="38">
        <v>725</v>
      </c>
    </row>
    <row r="943" spans="2:6" ht="11.25">
      <c r="B943" s="44" t="s">
        <v>1029</v>
      </c>
      <c r="C943" s="36" t="s">
        <v>3</v>
      </c>
      <c r="D943" s="30"/>
      <c r="E943" s="31">
        <f t="shared" si="44"/>
        <v>16.779661016949156</v>
      </c>
      <c r="F943" s="38">
        <v>110</v>
      </c>
    </row>
    <row r="944" spans="2:6" ht="11.25">
      <c r="B944" s="44" t="s">
        <v>1030</v>
      </c>
      <c r="C944" s="36" t="s">
        <v>3</v>
      </c>
      <c r="D944" s="30"/>
      <c r="E944" s="31">
        <f t="shared" si="44"/>
        <v>27.762711864406779</v>
      </c>
      <c r="F944" s="38">
        <v>182</v>
      </c>
    </row>
    <row r="945" spans="2:6" ht="11.25">
      <c r="B945" s="44" t="s">
        <v>1031</v>
      </c>
      <c r="C945" s="36" t="s">
        <v>3</v>
      </c>
      <c r="D945" s="30"/>
      <c r="E945" s="31">
        <f t="shared" si="44"/>
        <v>60.254237288135592</v>
      </c>
      <c r="F945" s="38">
        <v>395</v>
      </c>
    </row>
    <row r="946" spans="2:6" ht="11.25">
      <c r="B946" s="44" t="s">
        <v>1032</v>
      </c>
      <c r="C946" s="36" t="s">
        <v>3</v>
      </c>
      <c r="D946" s="30"/>
      <c r="E946" s="31">
        <f t="shared" si="44"/>
        <v>8.0847457627118633</v>
      </c>
      <c r="F946" s="38">
        <v>53</v>
      </c>
    </row>
    <row r="947" spans="2:6" ht="11.25">
      <c r="B947" s="44" t="s">
        <v>1033</v>
      </c>
      <c r="C947" s="36" t="s">
        <v>3</v>
      </c>
      <c r="D947" s="30"/>
      <c r="E947" s="31">
        <f t="shared" si="44"/>
        <v>987.71186440677968</v>
      </c>
      <c r="F947" s="38">
        <v>6475</v>
      </c>
    </row>
    <row r="948" spans="2:6" ht="11.25">
      <c r="B948" s="44" t="s">
        <v>1034</v>
      </c>
      <c r="C948" s="36" t="s">
        <v>3</v>
      </c>
      <c r="D948" s="30"/>
      <c r="E948" s="31">
        <f t="shared" si="44"/>
        <v>1336.2711864406781</v>
      </c>
      <c r="F948" s="38">
        <v>8760</v>
      </c>
    </row>
    <row r="949" spans="2:6" ht="11.25">
      <c r="B949" s="44" t="s">
        <v>1035</v>
      </c>
      <c r="C949" s="36" t="s">
        <v>3</v>
      </c>
      <c r="D949" s="30"/>
      <c r="E949" s="31">
        <f t="shared" si="44"/>
        <v>11346.101694915254</v>
      </c>
      <c r="F949" s="38">
        <v>74380</v>
      </c>
    </row>
    <row r="950" spans="2:6" ht="11.25">
      <c r="B950" s="44" t="s">
        <v>1036</v>
      </c>
      <c r="C950" s="36" t="s">
        <v>3</v>
      </c>
      <c r="D950" s="30"/>
      <c r="E950" s="31">
        <f t="shared" si="44"/>
        <v>7717.4237288135591</v>
      </c>
      <c r="F950" s="38">
        <v>50592</v>
      </c>
    </row>
    <row r="951" spans="2:6" ht="11.25">
      <c r="B951" s="44" t="s">
        <v>1037</v>
      </c>
      <c r="C951" s="36" t="s">
        <v>3</v>
      </c>
      <c r="D951" s="30"/>
      <c r="E951" s="31">
        <f t="shared" si="44"/>
        <v>5612.796610169491</v>
      </c>
      <c r="F951" s="38">
        <v>36795</v>
      </c>
    </row>
    <row r="952" spans="2:6" ht="11.25">
      <c r="B952" s="44" t="s">
        <v>1038</v>
      </c>
      <c r="C952" s="36" t="s">
        <v>3</v>
      </c>
      <c r="D952" s="30"/>
      <c r="E952" s="31">
        <f t="shared" si="44"/>
        <v>2566.5238983050849</v>
      </c>
      <c r="F952" s="38">
        <v>16824.990000000002</v>
      </c>
    </row>
    <row r="953" spans="2:6" ht="11.25">
      <c r="B953" s="44" t="s">
        <v>1039</v>
      </c>
      <c r="C953" s="36" t="s">
        <v>3</v>
      </c>
      <c r="D953" s="30"/>
      <c r="E953" s="31">
        <f t="shared" si="44"/>
        <v>1482.7118644067796</v>
      </c>
      <c r="F953" s="38">
        <v>9720</v>
      </c>
    </row>
    <row r="954" spans="2:6" ht="11.25">
      <c r="B954" s="44" t="s">
        <v>1040</v>
      </c>
      <c r="C954" s="36" t="s">
        <v>3</v>
      </c>
      <c r="D954" s="30"/>
      <c r="E954" s="31">
        <f t="shared" si="44"/>
        <v>2401.9245762711867</v>
      </c>
      <c r="F954" s="38">
        <v>15745.95</v>
      </c>
    </row>
    <row r="955" spans="2:6" ht="11.25">
      <c r="B955" s="44" t="s">
        <v>1041</v>
      </c>
      <c r="C955" s="36" t="s">
        <v>3</v>
      </c>
      <c r="D955" s="30"/>
      <c r="E955" s="31">
        <f t="shared" si="44"/>
        <v>7.4745762711864412</v>
      </c>
      <c r="F955" s="38">
        <v>49</v>
      </c>
    </row>
    <row r="956" spans="2:6" ht="11.25">
      <c r="B956" s="44" t="s">
        <v>1042</v>
      </c>
      <c r="C956" s="36" t="s">
        <v>3</v>
      </c>
      <c r="D956" s="30"/>
      <c r="E956" s="31">
        <f t="shared" si="44"/>
        <v>2.898305084745763</v>
      </c>
      <c r="F956" s="38">
        <v>19</v>
      </c>
    </row>
    <row r="957" spans="2:6" ht="11.25">
      <c r="B957" s="44" t="s">
        <v>1043</v>
      </c>
      <c r="C957" s="36" t="s">
        <v>3</v>
      </c>
      <c r="D957" s="30"/>
      <c r="E957" s="31">
        <f t="shared" si="44"/>
        <v>4.8813559322033901</v>
      </c>
      <c r="F957" s="38">
        <v>32</v>
      </c>
    </row>
    <row r="958" spans="2:6" ht="11.25">
      <c r="B958" s="44" t="s">
        <v>1044</v>
      </c>
      <c r="C958" s="36" t="s">
        <v>3</v>
      </c>
      <c r="D958" s="30"/>
      <c r="E958" s="31">
        <f t="shared" si="44"/>
        <v>26.237288135593218</v>
      </c>
      <c r="F958" s="38">
        <v>172</v>
      </c>
    </row>
    <row r="959" spans="2:6" ht="11.25">
      <c r="B959" s="44" t="s">
        <v>1045</v>
      </c>
      <c r="C959" s="36" t="s">
        <v>3</v>
      </c>
      <c r="D959" s="30"/>
      <c r="E959" s="31">
        <f t="shared" ref="E959:E988" si="45">+F959*0.18/1.18</f>
        <v>38.898305084745765</v>
      </c>
      <c r="F959" s="38">
        <v>255</v>
      </c>
    </row>
    <row r="960" spans="2:6" ht="11.25">
      <c r="B960" s="44" t="s">
        <v>1046</v>
      </c>
      <c r="C960" s="36" t="s">
        <v>3</v>
      </c>
      <c r="D960" s="30"/>
      <c r="E960" s="31">
        <f t="shared" si="45"/>
        <v>35.084745762711862</v>
      </c>
      <c r="F960" s="38">
        <v>230</v>
      </c>
    </row>
    <row r="961" spans="2:6" ht="11.25">
      <c r="B961" s="44" t="s">
        <v>1047</v>
      </c>
      <c r="C961" s="36" t="s">
        <v>3</v>
      </c>
      <c r="D961" s="30"/>
      <c r="E961" s="31">
        <f t="shared" si="45"/>
        <v>35.084745762711862</v>
      </c>
      <c r="F961" s="38">
        <v>230</v>
      </c>
    </row>
    <row r="962" spans="2:6" ht="11.25">
      <c r="B962" s="44" t="s">
        <v>1048</v>
      </c>
      <c r="C962" s="36" t="s">
        <v>3</v>
      </c>
      <c r="D962" s="30"/>
      <c r="E962" s="31">
        <f t="shared" si="45"/>
        <v>11.919661016949153</v>
      </c>
      <c r="F962" s="38">
        <v>78.14</v>
      </c>
    </row>
    <row r="963" spans="2:6" ht="11.25">
      <c r="B963" s="44" t="s">
        <v>1049</v>
      </c>
      <c r="C963" s="36" t="s">
        <v>3</v>
      </c>
      <c r="D963" s="30"/>
      <c r="E963" s="31">
        <f t="shared" si="45"/>
        <v>11.440677966101696</v>
      </c>
      <c r="F963" s="38">
        <v>75</v>
      </c>
    </row>
    <row r="964" spans="2:6" ht="11.25">
      <c r="B964" s="44" t="s">
        <v>1050</v>
      </c>
      <c r="C964" s="36" t="s">
        <v>3</v>
      </c>
      <c r="D964" s="30"/>
      <c r="E964" s="31">
        <f t="shared" si="45"/>
        <v>9</v>
      </c>
      <c r="F964" s="38">
        <v>59</v>
      </c>
    </row>
    <row r="965" spans="2:6" ht="11.25">
      <c r="B965" s="44" t="s">
        <v>1051</v>
      </c>
      <c r="C965" s="36" t="s">
        <v>3</v>
      </c>
      <c r="D965" s="30"/>
      <c r="E965" s="31">
        <f t="shared" si="45"/>
        <v>42.551694915254238</v>
      </c>
      <c r="F965" s="38">
        <v>278.95</v>
      </c>
    </row>
    <row r="966" spans="2:6" ht="11.25">
      <c r="B966" s="44" t="s">
        <v>1052</v>
      </c>
      <c r="C966" s="36" t="s">
        <v>3</v>
      </c>
      <c r="D966" s="30"/>
      <c r="E966" s="31">
        <f t="shared" si="45"/>
        <v>43.932203389830505</v>
      </c>
      <c r="F966" s="38">
        <v>288</v>
      </c>
    </row>
    <row r="967" spans="2:6" ht="11.25">
      <c r="B967" s="44" t="s">
        <v>1053</v>
      </c>
      <c r="C967" s="36" t="s">
        <v>3</v>
      </c>
      <c r="D967" s="30"/>
      <c r="E967" s="31">
        <f t="shared" si="45"/>
        <v>106.62711864406779</v>
      </c>
      <c r="F967" s="38">
        <v>699</v>
      </c>
    </row>
    <row r="968" spans="2:6" ht="11.25">
      <c r="B968" s="44" t="s">
        <v>1054</v>
      </c>
      <c r="C968" s="36" t="s">
        <v>3</v>
      </c>
      <c r="D968" s="30"/>
      <c r="E968" s="31">
        <f t="shared" si="45"/>
        <v>36.457627118644069</v>
      </c>
      <c r="F968" s="38">
        <v>239</v>
      </c>
    </row>
    <row r="969" spans="2:6" ht="11.25">
      <c r="B969" s="44" t="s">
        <v>1055</v>
      </c>
      <c r="C969" s="36" t="s">
        <v>3</v>
      </c>
      <c r="D969" s="30"/>
      <c r="E969" s="31">
        <f t="shared" si="45"/>
        <v>121.27118644067797</v>
      </c>
      <c r="F969" s="38">
        <v>795</v>
      </c>
    </row>
    <row r="970" spans="2:6" ht="11.25">
      <c r="B970" s="44" t="s">
        <v>1056</v>
      </c>
      <c r="C970" s="36" t="s">
        <v>3</v>
      </c>
      <c r="D970" s="30"/>
      <c r="E970" s="31">
        <f t="shared" si="45"/>
        <v>18.224237288135594</v>
      </c>
      <c r="F970" s="38">
        <v>119.47</v>
      </c>
    </row>
    <row r="971" spans="2:6" ht="11.25">
      <c r="B971" s="44" t="s">
        <v>1057</v>
      </c>
      <c r="C971" s="36" t="s">
        <v>3</v>
      </c>
      <c r="D971" s="30"/>
      <c r="E971" s="31">
        <f t="shared" si="45"/>
        <v>3.6442372881355936</v>
      </c>
      <c r="F971" s="38">
        <v>23.89</v>
      </c>
    </row>
    <row r="972" spans="2:6" ht="11.25">
      <c r="B972" s="44" t="s">
        <v>1058</v>
      </c>
      <c r="C972" s="36" t="s">
        <v>3</v>
      </c>
      <c r="D972" s="30"/>
      <c r="E972" s="31">
        <f t="shared" si="45"/>
        <v>3.4016949152542377</v>
      </c>
      <c r="F972" s="38">
        <v>22.3</v>
      </c>
    </row>
    <row r="973" spans="2:6" ht="11.25">
      <c r="B973" s="44" t="s">
        <v>1059</v>
      </c>
      <c r="C973" s="36" t="s">
        <v>3</v>
      </c>
      <c r="D973" s="30"/>
      <c r="E973" s="31">
        <f t="shared" si="45"/>
        <v>3.3559322033898304</v>
      </c>
      <c r="F973" s="38">
        <v>22</v>
      </c>
    </row>
    <row r="974" spans="2:6" ht="11.25">
      <c r="B974" s="44" t="s">
        <v>1060</v>
      </c>
      <c r="C974" s="36" t="s">
        <v>3</v>
      </c>
      <c r="D974" s="30"/>
      <c r="E974" s="31">
        <f t="shared" si="45"/>
        <v>43.091694915254237</v>
      </c>
      <c r="F974" s="38">
        <v>282.49</v>
      </c>
    </row>
    <row r="975" spans="2:6" ht="11.25">
      <c r="B975" s="44" t="s">
        <v>1061</v>
      </c>
      <c r="C975" s="36" t="s">
        <v>3</v>
      </c>
      <c r="D975" s="30"/>
      <c r="E975" s="31">
        <f t="shared" si="45"/>
        <v>59.186440677966111</v>
      </c>
      <c r="F975" s="38">
        <v>388</v>
      </c>
    </row>
    <row r="976" spans="2:6" ht="11.25">
      <c r="B976" s="44" t="s">
        <v>1062</v>
      </c>
      <c r="C976" s="36" t="s">
        <v>3</v>
      </c>
      <c r="D976" s="30"/>
      <c r="E976" s="31">
        <f t="shared" si="45"/>
        <v>59.535762711864415</v>
      </c>
      <c r="F976" s="38">
        <v>390.29</v>
      </c>
    </row>
    <row r="977" spans="2:6" ht="11.25">
      <c r="B977" s="44" t="s">
        <v>1063</v>
      </c>
      <c r="C977" s="36" t="s">
        <v>3</v>
      </c>
      <c r="D977" s="30"/>
      <c r="E977" s="31">
        <f t="shared" si="45"/>
        <v>98.17169491525425</v>
      </c>
      <c r="F977" s="38">
        <v>643.57000000000005</v>
      </c>
    </row>
    <row r="978" spans="2:6" ht="11.25">
      <c r="B978" s="44" t="s">
        <v>1064</v>
      </c>
      <c r="C978" s="36" t="s">
        <v>3</v>
      </c>
      <c r="D978" s="30"/>
      <c r="E978" s="31">
        <f t="shared" si="45"/>
        <v>216.91525423728814</v>
      </c>
      <c r="F978" s="38">
        <v>1422</v>
      </c>
    </row>
    <row r="979" spans="2:6" ht="11.25">
      <c r="B979" s="44" t="s">
        <v>1065</v>
      </c>
      <c r="C979" s="36" t="s">
        <v>3</v>
      </c>
      <c r="D979" s="30"/>
      <c r="E979" s="31">
        <f t="shared" si="45"/>
        <v>25.16949152542373</v>
      </c>
      <c r="F979" s="38">
        <v>165</v>
      </c>
    </row>
    <row r="980" spans="2:6" ht="11.25">
      <c r="B980" s="44" t="s">
        <v>1066</v>
      </c>
      <c r="C980" s="36" t="s">
        <v>3</v>
      </c>
      <c r="D980" s="30"/>
      <c r="E980" s="31">
        <f t="shared" si="45"/>
        <v>299.8983050847458</v>
      </c>
      <c r="F980" s="38">
        <v>1966</v>
      </c>
    </row>
    <row r="981" spans="2:6" ht="11.25">
      <c r="B981" s="44" t="s">
        <v>1067</v>
      </c>
      <c r="C981" s="36" t="s">
        <v>3</v>
      </c>
      <c r="D981" s="30"/>
      <c r="E981" s="31">
        <f t="shared" si="45"/>
        <v>281.89830508474574</v>
      </c>
      <c r="F981" s="38">
        <v>1848</v>
      </c>
    </row>
    <row r="982" spans="2:6" ht="11.25">
      <c r="B982" s="44" t="s">
        <v>1068</v>
      </c>
      <c r="C982" s="36" t="s">
        <v>3</v>
      </c>
      <c r="D982" s="30"/>
      <c r="E982" s="31">
        <f t="shared" si="45"/>
        <v>345.35593220338984</v>
      </c>
      <c r="F982" s="38">
        <v>2264</v>
      </c>
    </row>
    <row r="983" spans="2:6" ht="11.25">
      <c r="B983" s="44" t="s">
        <v>1066</v>
      </c>
      <c r="C983" s="36" t="s">
        <v>3</v>
      </c>
      <c r="D983" s="30"/>
      <c r="E983" s="31">
        <f t="shared" si="45"/>
        <v>315.91525423728814</v>
      </c>
      <c r="F983" s="38">
        <v>2071</v>
      </c>
    </row>
    <row r="984" spans="2:6" ht="11.25">
      <c r="B984" s="44" t="s">
        <v>1069</v>
      </c>
      <c r="C984" s="36" t="s">
        <v>3</v>
      </c>
      <c r="D984" s="30"/>
      <c r="E984" s="31">
        <f t="shared" si="45"/>
        <v>300.81355932203388</v>
      </c>
      <c r="F984" s="38">
        <v>1972</v>
      </c>
    </row>
    <row r="985" spans="2:6" ht="11.25">
      <c r="B985" s="44" t="s">
        <v>1070</v>
      </c>
      <c r="C985" s="36" t="s">
        <v>3</v>
      </c>
      <c r="D985" s="30"/>
      <c r="E985" s="31">
        <f t="shared" si="45"/>
        <v>311.03389830508473</v>
      </c>
      <c r="F985" s="38">
        <v>2039</v>
      </c>
    </row>
    <row r="986" spans="2:6" ht="11.25">
      <c r="B986" s="44" t="s">
        <v>1071</v>
      </c>
      <c r="C986" s="36" t="s">
        <v>3</v>
      </c>
      <c r="D986" s="30"/>
      <c r="E986" s="31">
        <f t="shared" si="45"/>
        <v>455.33898305084745</v>
      </c>
      <c r="F986" s="38">
        <v>2985</v>
      </c>
    </row>
    <row r="987" spans="2:6" ht="11.25">
      <c r="B987" s="44" t="s">
        <v>1072</v>
      </c>
      <c r="C987" s="36" t="s">
        <v>3</v>
      </c>
      <c r="D987" s="30"/>
      <c r="E987" s="31">
        <f t="shared" si="45"/>
        <v>384.40677966101691</v>
      </c>
      <c r="F987" s="38">
        <v>2520</v>
      </c>
    </row>
    <row r="988" spans="2:6" ht="11.25">
      <c r="B988" s="44" t="s">
        <v>1073</v>
      </c>
      <c r="C988" s="36" t="s">
        <v>3</v>
      </c>
      <c r="D988" s="30"/>
      <c r="E988" s="31">
        <f t="shared" si="45"/>
        <v>350.23728813559319</v>
      </c>
      <c r="F988" s="38">
        <v>2296</v>
      </c>
    </row>
    <row r="989" spans="2:6" ht="11.25">
      <c r="C989" s="36"/>
      <c r="D989" s="30"/>
      <c r="E989" s="31"/>
      <c r="F989" s="41"/>
    </row>
    <row r="990" spans="2:6" ht="11.25">
      <c r="B990" s="32" t="s">
        <v>1074</v>
      </c>
      <c r="C990" s="36"/>
      <c r="D990" s="30"/>
      <c r="E990" s="31"/>
      <c r="F990" s="41"/>
    </row>
    <row r="991" spans="2:6" ht="11.25">
      <c r="B991" s="44" t="s">
        <v>1075</v>
      </c>
      <c r="C991" s="36" t="s">
        <v>3</v>
      </c>
      <c r="D991" s="30"/>
      <c r="E991" s="31">
        <f t="shared" ref="E991:E1006" si="46">+F991*0.18/1.18</f>
        <v>192.66101694915255</v>
      </c>
      <c r="F991" s="38">
        <v>1263</v>
      </c>
    </row>
    <row r="992" spans="2:6" ht="11.25">
      <c r="B992" s="44" t="s">
        <v>1076</v>
      </c>
      <c r="C992" s="36" t="s">
        <v>3</v>
      </c>
      <c r="D992" s="30"/>
      <c r="E992" s="31">
        <f t="shared" si="46"/>
        <v>565.25491525423729</v>
      </c>
      <c r="F992" s="38">
        <v>3705.56</v>
      </c>
    </row>
    <row r="993" spans="2:6" ht="11.25">
      <c r="B993" s="44" t="s">
        <v>1077</v>
      </c>
      <c r="C993" s="36" t="s">
        <v>3</v>
      </c>
      <c r="D993" s="37">
        <f>+F993-E993</f>
        <v>1545.1271186440677</v>
      </c>
      <c r="E993" s="31">
        <f t="shared" si="46"/>
        <v>278.12288135593224</v>
      </c>
      <c r="F993" s="38">
        <v>1823.25</v>
      </c>
    </row>
    <row r="994" spans="2:6" ht="11.25">
      <c r="B994" s="44" t="s">
        <v>1078</v>
      </c>
      <c r="C994" s="36" t="s">
        <v>3</v>
      </c>
      <c r="D994" s="30"/>
      <c r="E994" s="31">
        <f t="shared" si="46"/>
        <v>1122.1016949152543</v>
      </c>
      <c r="F994" s="38">
        <v>7356</v>
      </c>
    </row>
    <row r="995" spans="2:6" ht="11.25">
      <c r="B995" s="44" t="s">
        <v>1079</v>
      </c>
      <c r="C995" s="36" t="s">
        <v>3</v>
      </c>
      <c r="D995" s="37">
        <f>+F995-E995</f>
        <v>3309.9576271186443</v>
      </c>
      <c r="E995" s="31">
        <f t="shared" si="46"/>
        <v>595.79237288135596</v>
      </c>
      <c r="F995" s="38">
        <v>3905.75</v>
      </c>
    </row>
    <row r="996" spans="2:6" ht="11.25">
      <c r="B996" s="44" t="s">
        <v>1080</v>
      </c>
      <c r="C996" s="36" t="s">
        <v>3</v>
      </c>
      <c r="D996" s="30"/>
      <c r="E996" s="31">
        <f t="shared" si="46"/>
        <v>165.05084745762713</v>
      </c>
      <c r="F996" s="38">
        <v>1082</v>
      </c>
    </row>
    <row r="997" spans="2:6" ht="11.25">
      <c r="B997" s="44" t="s">
        <v>1081</v>
      </c>
      <c r="C997" s="36" t="s">
        <v>3</v>
      </c>
      <c r="D997" s="30"/>
      <c r="E997" s="31">
        <f t="shared" si="46"/>
        <v>95.033898305084747</v>
      </c>
      <c r="F997" s="38">
        <v>623</v>
      </c>
    </row>
    <row r="998" spans="2:6" ht="11.25">
      <c r="B998" s="44" t="s">
        <v>1082</v>
      </c>
      <c r="C998" s="36" t="s">
        <v>3</v>
      </c>
      <c r="D998" s="30"/>
      <c r="E998" s="31">
        <f t="shared" si="46"/>
        <v>56.440677966101696</v>
      </c>
      <c r="F998" s="38">
        <v>370</v>
      </c>
    </row>
    <row r="999" spans="2:6" ht="11.25">
      <c r="B999" s="44" t="s">
        <v>1083</v>
      </c>
      <c r="C999" s="36" t="s">
        <v>3</v>
      </c>
      <c r="D999" s="30"/>
      <c r="E999" s="31">
        <f t="shared" si="46"/>
        <v>968.72033898305085</v>
      </c>
      <c r="F999" s="38">
        <v>6350.5</v>
      </c>
    </row>
    <row r="1000" spans="2:6" ht="11.25">
      <c r="B1000" s="44" t="s">
        <v>1084</v>
      </c>
      <c r="C1000" s="36" t="s">
        <v>3</v>
      </c>
      <c r="D1000" s="30"/>
      <c r="E1000" s="31">
        <f t="shared" si="46"/>
        <v>968.72033898305085</v>
      </c>
      <c r="F1000" s="38">
        <v>6350.5</v>
      </c>
    </row>
    <row r="1001" spans="2:6" ht="11.25">
      <c r="B1001" s="44" t="s">
        <v>1085</v>
      </c>
      <c r="C1001" s="36" t="s">
        <v>3</v>
      </c>
      <c r="D1001" s="30"/>
      <c r="E1001" s="31">
        <f t="shared" si="46"/>
        <v>4118.6425423728815</v>
      </c>
      <c r="F1001" s="38">
        <v>26999.99</v>
      </c>
    </row>
    <row r="1002" spans="2:6" ht="11.25">
      <c r="B1002" s="44" t="s">
        <v>1086</v>
      </c>
      <c r="C1002" s="36" t="s">
        <v>3</v>
      </c>
      <c r="D1002" s="30"/>
      <c r="E1002" s="31">
        <f t="shared" si="46"/>
        <v>4601.8525423728815</v>
      </c>
      <c r="F1002" s="38">
        <v>30167.7</v>
      </c>
    </row>
    <row r="1003" spans="2:6" ht="11.25">
      <c r="B1003" s="44" t="s">
        <v>1087</v>
      </c>
      <c r="C1003" s="36" t="s">
        <v>3</v>
      </c>
      <c r="D1003" s="30"/>
      <c r="E1003" s="31">
        <f t="shared" si="46"/>
        <v>906.86440677966095</v>
      </c>
      <c r="F1003" s="38">
        <v>5945</v>
      </c>
    </row>
    <row r="1004" spans="2:6" ht="11.25">
      <c r="B1004" s="44" t="s">
        <v>1088</v>
      </c>
      <c r="C1004" s="36" t="s">
        <v>3</v>
      </c>
      <c r="D1004" s="30"/>
      <c r="E1004" s="31">
        <f t="shared" si="46"/>
        <v>906.86440677966095</v>
      </c>
      <c r="F1004" s="38">
        <v>5945</v>
      </c>
    </row>
    <row r="1005" spans="2:6" ht="11.25">
      <c r="B1005" s="44" t="s">
        <v>1089</v>
      </c>
      <c r="C1005" s="36" t="s">
        <v>3</v>
      </c>
      <c r="D1005" s="30"/>
      <c r="E1005" s="31">
        <f t="shared" si="46"/>
        <v>49.118644067796616</v>
      </c>
      <c r="F1005" s="38">
        <v>322</v>
      </c>
    </row>
    <row r="1006" spans="2:6" ht="11.25">
      <c r="B1006" s="44" t="s">
        <v>1090</v>
      </c>
      <c r="C1006" s="36" t="s">
        <v>3</v>
      </c>
      <c r="D1006" s="30"/>
      <c r="E1006" s="31">
        <f t="shared" si="46"/>
        <v>81.610169491525426</v>
      </c>
      <c r="F1006" s="38">
        <v>535</v>
      </c>
    </row>
    <row r="1007" spans="2:6" ht="11.25">
      <c r="B1007" s="30"/>
      <c r="D1007" s="30"/>
      <c r="E1007" s="31"/>
      <c r="F1007" s="30"/>
    </row>
    <row r="1008" spans="2:6" ht="11.25">
      <c r="B1008" s="32" t="s">
        <v>1091</v>
      </c>
      <c r="C1008" s="36"/>
      <c r="D1008" s="30"/>
      <c r="E1008" s="31"/>
      <c r="F1008" s="41"/>
    </row>
    <row r="1009" spans="2:6" ht="11.25">
      <c r="B1009" s="44" t="s">
        <v>1092</v>
      </c>
      <c r="C1009" s="36" t="s">
        <v>3</v>
      </c>
      <c r="D1009" s="30"/>
      <c r="E1009" s="31">
        <f>+F1009*0.18/1.18</f>
        <v>845.69491525423734</v>
      </c>
      <c r="F1009" s="38">
        <v>5544</v>
      </c>
    </row>
    <row r="1010" spans="2:6" ht="11.25">
      <c r="B1010" s="44" t="s">
        <v>1093</v>
      </c>
      <c r="C1010" s="36" t="s">
        <v>3</v>
      </c>
      <c r="D1010" s="30"/>
      <c r="E1010" s="31">
        <f>+F1010*0.18/1.18</f>
        <v>1411.0169491525423</v>
      </c>
      <c r="F1010" s="38">
        <v>9250</v>
      </c>
    </row>
    <row r="1011" spans="2:6" ht="11.25">
      <c r="B1011" s="44" t="s">
        <v>1094</v>
      </c>
      <c r="C1011" s="36" t="s">
        <v>3</v>
      </c>
      <c r="D1011" s="37">
        <f>+F1011-E1011</f>
        <v>7916.9491525423728</v>
      </c>
      <c r="E1011" s="31">
        <f>+F1011*0.18/1.18</f>
        <v>1425.0508474576272</v>
      </c>
      <c r="F1011" s="38">
        <v>9342</v>
      </c>
    </row>
    <row r="1012" spans="2:6" ht="11.25">
      <c r="B1012" s="44" t="s">
        <v>1095</v>
      </c>
      <c r="C1012" s="36" t="s">
        <v>3</v>
      </c>
      <c r="D1012" s="30"/>
      <c r="E1012" s="31">
        <f>+F1012*0.18/1.18</f>
        <v>2333.7457627118642</v>
      </c>
      <c r="F1012" s="38">
        <v>15299</v>
      </c>
    </row>
    <row r="1013" spans="2:6" ht="11.25">
      <c r="B1013" s="44" t="s">
        <v>1096</v>
      </c>
      <c r="C1013" s="36" t="s">
        <v>3</v>
      </c>
      <c r="D1013" s="30"/>
      <c r="E1013" s="31">
        <f>+F1013*0.18/1.18</f>
        <v>3950.8474576271187</v>
      </c>
      <c r="F1013" s="38">
        <v>25900</v>
      </c>
    </row>
    <row r="1014" spans="2:6" ht="11.25">
      <c r="C1014" s="36"/>
      <c r="D1014" s="30"/>
      <c r="E1014" s="31"/>
      <c r="F1014" s="38"/>
    </row>
    <row r="1015" spans="2:6" ht="11.25">
      <c r="B1015" s="32" t="s">
        <v>1097</v>
      </c>
      <c r="C1015" s="36"/>
      <c r="D1015" s="30"/>
      <c r="E1015" s="31"/>
      <c r="F1015" s="41"/>
    </row>
    <row r="1016" spans="2:6" ht="11.25">
      <c r="B1016" s="44" t="s">
        <v>1098</v>
      </c>
      <c r="C1016" s="36" t="s">
        <v>3</v>
      </c>
      <c r="D1016" s="30"/>
      <c r="E1016" s="31">
        <f t="shared" ref="E1016:E1039" si="47">+F1016*0.18/1.18</f>
        <v>23453.389830508477</v>
      </c>
      <c r="F1016" s="38">
        <v>153750</v>
      </c>
    </row>
    <row r="1017" spans="2:6" ht="11.25">
      <c r="B1017" s="44" t="s">
        <v>1099</v>
      </c>
      <c r="C1017" s="36" t="s">
        <v>3</v>
      </c>
      <c r="D1017" s="30"/>
      <c r="E1017" s="31">
        <f t="shared" si="47"/>
        <v>15406.016949152541</v>
      </c>
      <c r="F1017" s="38">
        <v>100995</v>
      </c>
    </row>
    <row r="1018" spans="2:6" ht="11.25">
      <c r="B1018" s="44" t="s">
        <v>1100</v>
      </c>
      <c r="C1018" s="36" t="s">
        <v>3</v>
      </c>
      <c r="D1018" s="37">
        <f>+F1018-E1018</f>
        <v>49088.983050847455</v>
      </c>
      <c r="E1018" s="31">
        <f t="shared" si="47"/>
        <v>8836.016949152543</v>
      </c>
      <c r="F1018" s="38">
        <v>57925</v>
      </c>
    </row>
    <row r="1019" spans="2:6" ht="11.25">
      <c r="B1019" s="44" t="s">
        <v>1101</v>
      </c>
      <c r="C1019" s="36" t="s">
        <v>3</v>
      </c>
      <c r="D1019" s="37">
        <f>+F1019-E1019</f>
        <v>34002.542372881355</v>
      </c>
      <c r="E1019" s="31">
        <f t="shared" si="47"/>
        <v>6120.4576271186443</v>
      </c>
      <c r="F1019" s="38">
        <v>40123</v>
      </c>
    </row>
    <row r="1020" spans="2:6" ht="11.25">
      <c r="B1020" s="44" t="s">
        <v>1102</v>
      </c>
      <c r="C1020" s="36" t="s">
        <v>3</v>
      </c>
      <c r="D1020" s="30"/>
      <c r="E1020" s="31">
        <f t="shared" si="47"/>
        <v>4477.5762711864409</v>
      </c>
      <c r="F1020" s="38">
        <v>29353</v>
      </c>
    </row>
    <row r="1021" spans="2:6" ht="11.25">
      <c r="B1021" s="44" t="s">
        <v>1103</v>
      </c>
      <c r="C1021" s="36" t="s">
        <v>3</v>
      </c>
      <c r="D1021" s="30"/>
      <c r="E1021" s="31">
        <f t="shared" si="47"/>
        <v>1823.1864406779664</v>
      </c>
      <c r="F1021" s="38">
        <v>11952</v>
      </c>
    </row>
    <row r="1022" spans="2:6" ht="11.25">
      <c r="B1022" s="44" t="s">
        <v>1104</v>
      </c>
      <c r="C1022" s="36" t="s">
        <v>3</v>
      </c>
      <c r="D1022" s="30"/>
      <c r="E1022" s="31">
        <f t="shared" si="47"/>
        <v>1747.8305084745764</v>
      </c>
      <c r="F1022" s="38">
        <v>11458</v>
      </c>
    </row>
    <row r="1023" spans="2:6" ht="11.25">
      <c r="B1023" s="44" t="s">
        <v>1105</v>
      </c>
      <c r="C1023" s="36" t="s">
        <v>3</v>
      </c>
      <c r="D1023" s="30"/>
      <c r="E1023" s="31">
        <f t="shared" si="47"/>
        <v>683.38983050847457</v>
      </c>
      <c r="F1023" s="38">
        <v>4480</v>
      </c>
    </row>
    <row r="1024" spans="2:6" ht="11.25">
      <c r="B1024" s="44" t="s">
        <v>1106</v>
      </c>
      <c r="C1024" s="36" t="s">
        <v>3</v>
      </c>
      <c r="D1024" s="30"/>
      <c r="E1024" s="31">
        <f t="shared" si="47"/>
        <v>594.91372881355926</v>
      </c>
      <c r="F1024" s="38">
        <v>3899.99</v>
      </c>
    </row>
    <row r="1025" spans="2:6" ht="11.25">
      <c r="B1025" s="44" t="s">
        <v>1107</v>
      </c>
      <c r="C1025" s="36" t="s">
        <v>3</v>
      </c>
      <c r="D1025" s="30"/>
      <c r="E1025" s="31">
        <f t="shared" si="47"/>
        <v>6136.016949152543</v>
      </c>
      <c r="F1025" s="38">
        <v>40225</v>
      </c>
    </row>
    <row r="1026" spans="2:6" ht="11.25">
      <c r="B1026" s="44" t="s">
        <v>1108</v>
      </c>
      <c r="C1026" s="36" t="s">
        <v>3</v>
      </c>
      <c r="D1026" s="30"/>
      <c r="E1026" s="31">
        <f t="shared" si="47"/>
        <v>3966.1016949152545</v>
      </c>
      <c r="F1026" s="38">
        <v>26000</v>
      </c>
    </row>
    <row r="1027" spans="2:6" ht="11.25">
      <c r="B1027" s="44" t="s">
        <v>1109</v>
      </c>
      <c r="C1027" s="36" t="s">
        <v>3</v>
      </c>
      <c r="D1027" s="30"/>
      <c r="E1027" s="31">
        <f t="shared" si="47"/>
        <v>4381.9322033898306</v>
      </c>
      <c r="F1027" s="38">
        <v>28726</v>
      </c>
    </row>
    <row r="1028" spans="2:6" ht="11.25">
      <c r="B1028" s="44" t="s">
        <v>1110</v>
      </c>
      <c r="C1028" s="36" t="s">
        <v>3</v>
      </c>
      <c r="D1028" s="30"/>
      <c r="E1028" s="31">
        <f t="shared" si="47"/>
        <v>1960.1694915254238</v>
      </c>
      <c r="F1028" s="38">
        <v>12850</v>
      </c>
    </row>
    <row r="1029" spans="2:6" ht="11.25">
      <c r="B1029" s="44" t="s">
        <v>1111</v>
      </c>
      <c r="C1029" s="36" t="s">
        <v>3</v>
      </c>
      <c r="D1029" s="30"/>
      <c r="E1029" s="31">
        <f t="shared" si="47"/>
        <v>1784.7457627118645</v>
      </c>
      <c r="F1029" s="38">
        <v>11700</v>
      </c>
    </row>
    <row r="1030" spans="2:6" ht="11.25">
      <c r="B1030" s="44" t="s">
        <v>1112</v>
      </c>
      <c r="C1030" s="36" t="s">
        <v>3</v>
      </c>
      <c r="D1030" s="30"/>
      <c r="E1030" s="31">
        <f t="shared" si="47"/>
        <v>898.47457627118649</v>
      </c>
      <c r="F1030" s="38">
        <v>5890</v>
      </c>
    </row>
    <row r="1031" spans="2:6" ht="11.25">
      <c r="B1031" s="44" t="s">
        <v>1113</v>
      </c>
      <c r="C1031" s="36" t="s">
        <v>3</v>
      </c>
      <c r="D1031" s="30"/>
      <c r="E1031" s="31">
        <f t="shared" si="47"/>
        <v>832.88135593220341</v>
      </c>
      <c r="F1031" s="38">
        <v>5460</v>
      </c>
    </row>
    <row r="1032" spans="2:6" ht="11.25">
      <c r="B1032" s="44" t="s">
        <v>1114</v>
      </c>
      <c r="C1032" s="36" t="s">
        <v>3</v>
      </c>
      <c r="D1032" s="30"/>
      <c r="E1032" s="31">
        <f t="shared" si="47"/>
        <v>688.50305084745776</v>
      </c>
      <c r="F1032" s="38">
        <v>4513.5200000000004</v>
      </c>
    </row>
    <row r="1033" spans="2:6" ht="11.25">
      <c r="B1033" s="44" t="s">
        <v>1115</v>
      </c>
      <c r="C1033" s="36" t="s">
        <v>3</v>
      </c>
      <c r="D1033" s="30"/>
      <c r="E1033" s="31">
        <f t="shared" si="47"/>
        <v>1906.7796610169491</v>
      </c>
      <c r="F1033" s="38">
        <v>12500</v>
      </c>
    </row>
    <row r="1034" spans="2:6" ht="11.25">
      <c r="B1034" s="44" t="s">
        <v>1116</v>
      </c>
      <c r="C1034" s="36" t="s">
        <v>3</v>
      </c>
      <c r="D1034" s="30"/>
      <c r="E1034" s="31">
        <f t="shared" si="47"/>
        <v>1403.3898305084747</v>
      </c>
      <c r="F1034" s="38">
        <v>9200</v>
      </c>
    </row>
    <row r="1035" spans="2:6" ht="11.25">
      <c r="B1035" s="44" t="s">
        <v>1117</v>
      </c>
      <c r="C1035" s="36" t="s">
        <v>3</v>
      </c>
      <c r="D1035" s="30"/>
      <c r="E1035" s="31">
        <f t="shared" si="47"/>
        <v>838.98305084745766</v>
      </c>
      <c r="F1035" s="38">
        <v>5500</v>
      </c>
    </row>
    <row r="1036" spans="2:6" ht="11.25">
      <c r="B1036" s="44" t="s">
        <v>1118</v>
      </c>
      <c r="C1036" s="36" t="s">
        <v>3</v>
      </c>
      <c r="D1036" s="37">
        <f>+F1036-E1036</f>
        <v>3644.0677966101694</v>
      </c>
      <c r="E1036" s="31">
        <f t="shared" si="47"/>
        <v>655.93220338983053</v>
      </c>
      <c r="F1036" s="38">
        <v>4300</v>
      </c>
    </row>
    <row r="1037" spans="2:6" ht="11.25">
      <c r="B1037" s="44" t="s">
        <v>1677</v>
      </c>
      <c r="C1037" s="36" t="s">
        <v>3</v>
      </c>
      <c r="D1037" s="37">
        <f>+F1037-E1037</f>
        <v>7415.2542372881353</v>
      </c>
      <c r="E1037" s="31">
        <f t="shared" ref="E1037" si="48">+F1037*0.18/1.18</f>
        <v>1334.7457627118645</v>
      </c>
      <c r="F1037" s="38">
        <v>8750</v>
      </c>
    </row>
    <row r="1038" spans="2:6" ht="11.25">
      <c r="B1038" s="44" t="s">
        <v>1119</v>
      </c>
      <c r="C1038" s="36" t="s">
        <v>3</v>
      </c>
      <c r="D1038" s="30"/>
      <c r="E1038" s="31">
        <f t="shared" si="47"/>
        <v>4088.1355932203392</v>
      </c>
      <c r="F1038" s="38">
        <v>26800</v>
      </c>
    </row>
    <row r="1039" spans="2:6" ht="11.25">
      <c r="B1039" s="44" t="s">
        <v>1120</v>
      </c>
      <c r="C1039" s="36" t="s">
        <v>3</v>
      </c>
      <c r="D1039" s="30"/>
      <c r="E1039" s="31">
        <f t="shared" si="47"/>
        <v>5424.4052542372874</v>
      </c>
      <c r="F1039" s="38">
        <v>35559.99</v>
      </c>
    </row>
    <row r="1040" spans="2:6" ht="11.25">
      <c r="C1040" s="36"/>
      <c r="D1040" s="30"/>
      <c r="E1040" s="31"/>
      <c r="F1040" s="38"/>
    </row>
    <row r="1041" spans="2:6" ht="11.25">
      <c r="B1041" s="32" t="s">
        <v>1121</v>
      </c>
      <c r="C1041" s="36"/>
      <c r="D1041" s="30"/>
      <c r="E1041" s="31"/>
    </row>
    <row r="1042" spans="2:6" ht="11.25">
      <c r="B1042" s="35" t="s">
        <v>1122</v>
      </c>
      <c r="C1042" s="36" t="s">
        <v>28</v>
      </c>
      <c r="D1042" s="30"/>
      <c r="E1042" s="31">
        <f t="shared" ref="E1042:E1106" si="49">+F1042*0.18/1.18</f>
        <v>21.142372881355932</v>
      </c>
      <c r="F1042" s="38">
        <v>138.6</v>
      </c>
    </row>
    <row r="1043" spans="2:6" ht="11.25">
      <c r="B1043" s="35" t="s">
        <v>1123</v>
      </c>
      <c r="C1043" s="36" t="s">
        <v>28</v>
      </c>
      <c r="D1043" s="30"/>
      <c r="E1043" s="31">
        <f t="shared" si="49"/>
        <v>25.337288135593219</v>
      </c>
      <c r="F1043" s="38">
        <v>166.1</v>
      </c>
    </row>
    <row r="1044" spans="2:6" ht="11.25">
      <c r="B1044" s="35" t="s">
        <v>1124</v>
      </c>
      <c r="C1044" s="36" t="s">
        <v>28</v>
      </c>
      <c r="D1044" s="30"/>
      <c r="E1044" s="31">
        <f t="shared" si="49"/>
        <v>33.559322033898312</v>
      </c>
      <c r="F1044" s="38">
        <v>220</v>
      </c>
    </row>
    <row r="1045" spans="2:6" ht="11.25">
      <c r="B1045" s="35" t="s">
        <v>1125</v>
      </c>
      <c r="C1045" s="36" t="s">
        <v>28</v>
      </c>
      <c r="D1045" s="30"/>
      <c r="E1045" s="31">
        <f t="shared" si="49"/>
        <v>40.271186440677965</v>
      </c>
      <c r="F1045" s="38">
        <v>264</v>
      </c>
    </row>
    <row r="1046" spans="2:6" ht="11.25">
      <c r="B1046" s="35" t="s">
        <v>1126</v>
      </c>
      <c r="C1046" s="36" t="s">
        <v>28</v>
      </c>
      <c r="D1046" s="37">
        <f t="shared" ref="D1046:D1048" si="50">+F1046-E1046</f>
        <v>84.966101694915253</v>
      </c>
      <c r="E1046" s="31">
        <f t="shared" si="49"/>
        <v>15.293898305084747</v>
      </c>
      <c r="F1046" s="38">
        <v>100.26</v>
      </c>
    </row>
    <row r="1047" spans="2:6" ht="11.25">
      <c r="B1047" s="44" t="s">
        <v>1127</v>
      </c>
      <c r="C1047" s="48" t="s">
        <v>28</v>
      </c>
      <c r="D1047" s="37">
        <f t="shared" si="50"/>
        <v>64.322033898305094</v>
      </c>
      <c r="E1047" s="31">
        <f t="shared" si="49"/>
        <v>11.577966101694917</v>
      </c>
      <c r="F1047" s="38">
        <v>75.900000000000006</v>
      </c>
    </row>
    <row r="1048" spans="2:6" ht="11.25">
      <c r="B1048" s="44" t="s">
        <v>1128</v>
      </c>
      <c r="C1048" s="48" t="s">
        <v>28</v>
      </c>
      <c r="D1048" s="37">
        <f t="shared" si="50"/>
        <v>38.220338983050851</v>
      </c>
      <c r="E1048" s="31">
        <f t="shared" si="49"/>
        <v>6.8796610169491528</v>
      </c>
      <c r="F1048" s="38">
        <v>45.1</v>
      </c>
    </row>
    <row r="1049" spans="2:6" ht="11.25">
      <c r="B1049" s="44" t="s">
        <v>1129</v>
      </c>
      <c r="C1049" s="48" t="s">
        <v>28</v>
      </c>
      <c r="D1049" s="37">
        <f>+F1049-E1049</f>
        <v>25.169491525423727</v>
      </c>
      <c r="E1049" s="31">
        <f t="shared" si="49"/>
        <v>4.5305084745762718</v>
      </c>
      <c r="F1049" s="38">
        <v>29.7</v>
      </c>
    </row>
    <row r="1050" spans="2:6" ht="11.25">
      <c r="B1050" s="44" t="s">
        <v>1130</v>
      </c>
      <c r="C1050" s="48" t="s">
        <v>28</v>
      </c>
      <c r="D1050" s="37">
        <f t="shared" ref="D1050:D1051" si="51">+F1050-E1050</f>
        <v>17.711864406779661</v>
      </c>
      <c r="E1050" s="31">
        <f t="shared" si="49"/>
        <v>3.1881355932203386</v>
      </c>
      <c r="F1050" s="38">
        <v>20.9</v>
      </c>
    </row>
    <row r="1051" spans="2:6" ht="11.25">
      <c r="B1051" s="44" t="s">
        <v>1131</v>
      </c>
      <c r="C1051" s="48" t="s">
        <v>28</v>
      </c>
      <c r="D1051" s="37">
        <f t="shared" si="51"/>
        <v>9.4152542372881349</v>
      </c>
      <c r="E1051" s="31">
        <f t="shared" si="49"/>
        <v>1.6947457627118643</v>
      </c>
      <c r="F1051" s="38">
        <v>11.11</v>
      </c>
    </row>
    <row r="1052" spans="2:6" ht="11.25">
      <c r="B1052" s="44" t="s">
        <v>1132</v>
      </c>
      <c r="C1052" s="48" t="s">
        <v>28</v>
      </c>
      <c r="D1052" s="30"/>
      <c r="E1052" s="31">
        <f t="shared" si="49"/>
        <v>1.1105084745762712</v>
      </c>
      <c r="F1052" s="38">
        <v>7.28</v>
      </c>
    </row>
    <row r="1053" spans="2:6" ht="11.25">
      <c r="B1053" s="44" t="s">
        <v>1133</v>
      </c>
      <c r="C1053" s="48" t="s">
        <v>28</v>
      </c>
      <c r="D1053" s="30"/>
      <c r="E1053" s="31">
        <f t="shared" si="49"/>
        <v>0.8771186440677966</v>
      </c>
      <c r="F1053" s="38">
        <v>5.75</v>
      </c>
    </row>
    <row r="1054" spans="2:6" ht="11.25">
      <c r="B1054" s="44" t="s">
        <v>1134</v>
      </c>
      <c r="C1054" s="48" t="s">
        <v>28</v>
      </c>
      <c r="D1054" s="30"/>
      <c r="E1054" s="31">
        <f t="shared" si="49"/>
        <v>1.2584745762711864</v>
      </c>
      <c r="F1054" s="38">
        <v>8.25</v>
      </c>
    </row>
    <row r="1055" spans="2:6" ht="11.25">
      <c r="B1055" s="44" t="s">
        <v>1135</v>
      </c>
      <c r="C1055" s="48" t="s">
        <v>28</v>
      </c>
      <c r="D1055" s="30"/>
      <c r="E1055" s="31">
        <f t="shared" si="49"/>
        <v>2.2652542372881359</v>
      </c>
      <c r="F1055" s="38">
        <v>14.85</v>
      </c>
    </row>
    <row r="1056" spans="2:6" ht="11.25">
      <c r="B1056" s="44" t="s">
        <v>1136</v>
      </c>
      <c r="C1056" s="48" t="s">
        <v>28</v>
      </c>
      <c r="D1056" s="30"/>
      <c r="E1056" s="31">
        <f t="shared" si="49"/>
        <v>3.2049152542372883</v>
      </c>
      <c r="F1056" s="38">
        <v>21.01</v>
      </c>
    </row>
    <row r="1057" spans="2:6" ht="11.25">
      <c r="B1057" s="44" t="s">
        <v>1137</v>
      </c>
      <c r="C1057" s="48" t="s">
        <v>28</v>
      </c>
      <c r="D1057" s="30"/>
      <c r="E1057" s="31">
        <f t="shared" si="49"/>
        <v>4.6983050847457628</v>
      </c>
      <c r="F1057" s="38">
        <v>30.8</v>
      </c>
    </row>
    <row r="1058" spans="2:6" ht="11.25">
      <c r="B1058" s="44" t="s">
        <v>1138</v>
      </c>
      <c r="C1058" s="48" t="s">
        <v>28</v>
      </c>
      <c r="D1058" s="30"/>
      <c r="E1058" s="31">
        <f t="shared" si="49"/>
        <v>5.8728813559322033</v>
      </c>
      <c r="F1058" s="38">
        <v>38.5</v>
      </c>
    </row>
    <row r="1059" spans="2:6" ht="11.25">
      <c r="B1059" s="44" t="s">
        <v>1139</v>
      </c>
      <c r="C1059" s="48" t="s">
        <v>28</v>
      </c>
      <c r="D1059" s="30"/>
      <c r="E1059" s="31">
        <f t="shared" si="49"/>
        <v>8.7422033898305092</v>
      </c>
      <c r="F1059" s="38">
        <v>57.31</v>
      </c>
    </row>
    <row r="1060" spans="2:6" ht="11.25">
      <c r="B1060" s="44" t="s">
        <v>1140</v>
      </c>
      <c r="C1060" s="48" t="s">
        <v>28</v>
      </c>
      <c r="D1060" s="30"/>
      <c r="E1060" s="31">
        <f t="shared" si="49"/>
        <v>2.898305084745763</v>
      </c>
      <c r="F1060" s="38">
        <v>19</v>
      </c>
    </row>
    <row r="1061" spans="2:6" ht="11.25">
      <c r="B1061" s="44" t="s">
        <v>1141</v>
      </c>
      <c r="C1061" s="48" t="s">
        <v>28</v>
      </c>
      <c r="D1061" s="30"/>
      <c r="E1061" s="31">
        <f t="shared" si="49"/>
        <v>3.7998305084745763</v>
      </c>
      <c r="F1061" s="38">
        <v>24.91</v>
      </c>
    </row>
    <row r="1062" spans="2:6" ht="11.25">
      <c r="B1062" s="44" t="s">
        <v>1142</v>
      </c>
      <c r="C1062" s="48" t="s">
        <v>28</v>
      </c>
      <c r="D1062" s="30"/>
      <c r="E1062" s="31">
        <f t="shared" si="49"/>
        <v>4.2711864406779663</v>
      </c>
      <c r="F1062" s="38">
        <v>28</v>
      </c>
    </row>
    <row r="1063" spans="2:6" ht="11.25">
      <c r="B1063" s="44" t="s">
        <v>1143</v>
      </c>
      <c r="C1063" s="48" t="s">
        <v>28</v>
      </c>
      <c r="D1063" s="30"/>
      <c r="E1063" s="31">
        <f t="shared" si="49"/>
        <v>2.593220338983051</v>
      </c>
      <c r="F1063" s="38">
        <v>17</v>
      </c>
    </row>
    <row r="1064" spans="2:6" ht="11.25">
      <c r="B1064" s="44" t="s">
        <v>1144</v>
      </c>
      <c r="C1064" s="48" t="s">
        <v>28</v>
      </c>
      <c r="D1064" s="30"/>
      <c r="E1064" s="31">
        <f t="shared" si="49"/>
        <v>3.8135593220338984</v>
      </c>
      <c r="F1064" s="38">
        <v>25</v>
      </c>
    </row>
    <row r="1065" spans="2:6" ht="11.25">
      <c r="B1065" s="44" t="s">
        <v>1145</v>
      </c>
      <c r="C1065" s="48" t="s">
        <v>28</v>
      </c>
      <c r="D1065" s="30"/>
      <c r="E1065" s="31">
        <f t="shared" si="49"/>
        <v>3.9661016949152543</v>
      </c>
      <c r="F1065" s="38">
        <v>26</v>
      </c>
    </row>
    <row r="1066" spans="2:6" ht="11.25">
      <c r="B1066" s="44" t="s">
        <v>1146</v>
      </c>
      <c r="C1066" s="48" t="s">
        <v>28</v>
      </c>
      <c r="D1066" s="30"/>
      <c r="E1066" s="31">
        <f t="shared" si="49"/>
        <v>4.5762711864406773</v>
      </c>
      <c r="F1066" s="38">
        <v>30</v>
      </c>
    </row>
    <row r="1067" spans="2:6" ht="11.25">
      <c r="B1067" s="44" t="s">
        <v>1147</v>
      </c>
      <c r="C1067" s="48" t="s">
        <v>28</v>
      </c>
      <c r="D1067" s="30"/>
      <c r="E1067" s="31">
        <f t="shared" si="49"/>
        <v>5.3389830508474576</v>
      </c>
      <c r="F1067" s="38">
        <v>35</v>
      </c>
    </row>
    <row r="1068" spans="2:6" ht="11.25">
      <c r="B1068" s="44" t="s">
        <v>1148</v>
      </c>
      <c r="C1068" s="48" t="s">
        <v>28</v>
      </c>
      <c r="D1068" s="30"/>
      <c r="E1068" s="31">
        <f t="shared" si="49"/>
        <v>6.8644067796610173</v>
      </c>
      <c r="F1068" s="38">
        <v>45</v>
      </c>
    </row>
    <row r="1069" spans="2:6" ht="11.25">
      <c r="B1069" s="44" t="s">
        <v>1149</v>
      </c>
      <c r="C1069" s="48" t="s">
        <v>28</v>
      </c>
      <c r="D1069" s="30"/>
      <c r="E1069" s="31">
        <f t="shared" si="49"/>
        <v>4.8813559322033901</v>
      </c>
      <c r="F1069" s="38">
        <v>32</v>
      </c>
    </row>
    <row r="1070" spans="2:6" ht="11.25">
      <c r="B1070" s="44" t="s">
        <v>1150</v>
      </c>
      <c r="C1070" s="48" t="s">
        <v>28</v>
      </c>
      <c r="D1070" s="30"/>
      <c r="E1070" s="31">
        <f t="shared" si="49"/>
        <v>7.9322033898305087</v>
      </c>
      <c r="F1070" s="38">
        <v>52</v>
      </c>
    </row>
    <row r="1071" spans="2:6" ht="11.25">
      <c r="B1071" s="44" t="s">
        <v>1151</v>
      </c>
      <c r="C1071" s="48" t="s">
        <v>28</v>
      </c>
      <c r="D1071" s="30"/>
      <c r="E1071" s="31">
        <f t="shared" si="49"/>
        <v>9.3050847457627128</v>
      </c>
      <c r="F1071" s="38">
        <v>61</v>
      </c>
    </row>
    <row r="1072" spans="2:6" ht="11.25">
      <c r="B1072" s="44" t="s">
        <v>1152</v>
      </c>
      <c r="C1072" s="48" t="s">
        <v>28</v>
      </c>
      <c r="D1072" s="30"/>
      <c r="E1072" s="31">
        <f t="shared" si="49"/>
        <v>0.79322033898305089</v>
      </c>
      <c r="F1072" s="38">
        <v>5.2</v>
      </c>
    </row>
    <row r="1073" spans="2:6" ht="11.25">
      <c r="B1073" s="44" t="s">
        <v>1153</v>
      </c>
      <c r="C1073" s="48" t="s">
        <v>28</v>
      </c>
      <c r="D1073" s="30"/>
      <c r="E1073" s="31">
        <f t="shared" si="49"/>
        <v>0.99152542372881358</v>
      </c>
      <c r="F1073" s="38">
        <v>6.5</v>
      </c>
    </row>
    <row r="1074" spans="2:6" ht="11.25">
      <c r="B1074" s="44" t="s">
        <v>1154</v>
      </c>
      <c r="C1074" s="48" t="s">
        <v>28</v>
      </c>
      <c r="D1074" s="30"/>
      <c r="E1074" s="31">
        <f t="shared" si="49"/>
        <v>1.3728813559322033</v>
      </c>
      <c r="F1074" s="38">
        <v>9</v>
      </c>
    </row>
    <row r="1075" spans="2:6" ht="11.25">
      <c r="B1075" s="44" t="s">
        <v>1155</v>
      </c>
      <c r="C1075" s="48" t="s">
        <v>28</v>
      </c>
      <c r="D1075" s="30"/>
      <c r="E1075" s="31">
        <f t="shared" si="49"/>
        <v>1.3728813559322033</v>
      </c>
      <c r="F1075" s="38">
        <v>9</v>
      </c>
    </row>
    <row r="1076" spans="2:6" ht="11.25">
      <c r="B1076" s="44" t="s">
        <v>1156</v>
      </c>
      <c r="C1076" s="48" t="s">
        <v>28</v>
      </c>
      <c r="D1076" s="30"/>
      <c r="E1076" s="31">
        <f t="shared" si="49"/>
        <v>1.9830508474576272</v>
      </c>
      <c r="F1076" s="38">
        <v>13</v>
      </c>
    </row>
    <row r="1077" spans="2:6" ht="11.25">
      <c r="B1077" s="44" t="s">
        <v>1157</v>
      </c>
      <c r="C1077" s="48" t="s">
        <v>28</v>
      </c>
      <c r="D1077" s="30"/>
      <c r="E1077" s="31">
        <f t="shared" si="49"/>
        <v>2.7777966101694918</v>
      </c>
      <c r="F1077" s="38">
        <v>18.21</v>
      </c>
    </row>
    <row r="1078" spans="2:6" ht="11.25">
      <c r="B1078" s="44" t="s">
        <v>1158</v>
      </c>
      <c r="C1078" s="48" t="s">
        <v>28</v>
      </c>
      <c r="D1078" s="30"/>
      <c r="E1078" s="31">
        <f t="shared" si="49"/>
        <v>1.7710169491525423</v>
      </c>
      <c r="F1078" s="38">
        <v>11.61</v>
      </c>
    </row>
    <row r="1079" spans="2:6" ht="11.25">
      <c r="B1079" s="44" t="s">
        <v>1159</v>
      </c>
      <c r="C1079" s="48" t="s">
        <v>28</v>
      </c>
      <c r="D1079" s="30"/>
      <c r="E1079" s="31">
        <f t="shared" si="49"/>
        <v>2.7396610169491526</v>
      </c>
      <c r="F1079" s="38">
        <v>17.96</v>
      </c>
    </row>
    <row r="1080" spans="2:6" ht="11.25">
      <c r="B1080" s="44" t="s">
        <v>1160</v>
      </c>
      <c r="C1080" s="48" t="s">
        <v>28</v>
      </c>
      <c r="D1080" s="30"/>
      <c r="E1080" s="31">
        <f t="shared" si="49"/>
        <v>2.2530508474576272</v>
      </c>
      <c r="F1080" s="38">
        <v>14.77</v>
      </c>
    </row>
    <row r="1081" spans="2:6" ht="11.25">
      <c r="B1081" s="44" t="s">
        <v>1161</v>
      </c>
      <c r="C1081" s="48" t="s">
        <v>28</v>
      </c>
      <c r="D1081" s="30"/>
      <c r="E1081" s="31">
        <f t="shared" si="49"/>
        <v>3.4459322033898308</v>
      </c>
      <c r="F1081" s="38">
        <v>22.59</v>
      </c>
    </row>
    <row r="1082" spans="2:6" ht="11.25">
      <c r="B1082" s="44" t="s">
        <v>1162</v>
      </c>
      <c r="C1082" s="48" t="s">
        <v>28</v>
      </c>
      <c r="D1082" s="30"/>
      <c r="E1082" s="31">
        <f t="shared" si="49"/>
        <v>3.5191525423728813</v>
      </c>
      <c r="F1082" s="38">
        <v>23.07</v>
      </c>
    </row>
    <row r="1083" spans="2:6" ht="11.25">
      <c r="B1083" s="44" t="s">
        <v>1163</v>
      </c>
      <c r="C1083" s="48" t="s">
        <v>28</v>
      </c>
      <c r="D1083" s="30"/>
      <c r="E1083" s="31">
        <f t="shared" si="49"/>
        <v>5.3893220338983046</v>
      </c>
      <c r="F1083" s="38">
        <v>35.33</v>
      </c>
    </row>
    <row r="1084" spans="2:6" ht="11.25">
      <c r="B1084" s="44" t="s">
        <v>1164</v>
      </c>
      <c r="C1084" s="48" t="s">
        <v>28</v>
      </c>
      <c r="D1084" s="30"/>
      <c r="E1084" s="31">
        <f t="shared" si="49"/>
        <v>5.7783050847457638</v>
      </c>
      <c r="F1084" s="38">
        <v>37.880000000000003</v>
      </c>
    </row>
    <row r="1085" spans="2:6" ht="11.25">
      <c r="B1085" s="44" t="s">
        <v>1165</v>
      </c>
      <c r="C1085" s="48" t="s">
        <v>28</v>
      </c>
      <c r="D1085" s="30"/>
      <c r="E1085" s="31">
        <f t="shared" si="49"/>
        <v>7.7735593220338988</v>
      </c>
      <c r="F1085" s="38">
        <v>50.96</v>
      </c>
    </row>
    <row r="1086" spans="2:6" ht="11.25">
      <c r="B1086" s="44" t="s">
        <v>1166</v>
      </c>
      <c r="C1086" s="48" t="s">
        <v>28</v>
      </c>
      <c r="D1086" s="30"/>
      <c r="E1086" s="31">
        <f t="shared" si="49"/>
        <v>0.50491525423728811</v>
      </c>
      <c r="F1086" s="38">
        <v>3.31</v>
      </c>
    </row>
    <row r="1087" spans="2:6" ht="11.25">
      <c r="B1087" s="44" t="s">
        <v>1167</v>
      </c>
      <c r="C1087" s="48" t="s">
        <v>28</v>
      </c>
      <c r="D1087" s="30"/>
      <c r="E1087" s="31">
        <f t="shared" si="49"/>
        <v>1.9083050847457625</v>
      </c>
      <c r="F1087" s="38">
        <v>12.51</v>
      </c>
    </row>
    <row r="1088" spans="2:6" ht="11.25">
      <c r="B1088" s="44" t="s">
        <v>1168</v>
      </c>
      <c r="C1088" s="48" t="s">
        <v>28</v>
      </c>
      <c r="D1088" s="30"/>
      <c r="E1088" s="31">
        <f t="shared" si="49"/>
        <v>0.76271186440677963</v>
      </c>
      <c r="F1088" s="38">
        <v>5</v>
      </c>
    </row>
    <row r="1089" spans="2:6" ht="11.25">
      <c r="B1089" s="44" t="s">
        <v>1169</v>
      </c>
      <c r="C1089" s="48" t="s">
        <v>3</v>
      </c>
      <c r="D1089" s="30"/>
      <c r="E1089" s="31">
        <f t="shared" si="49"/>
        <v>25.932203389830509</v>
      </c>
      <c r="F1089" s="38">
        <v>170</v>
      </c>
    </row>
    <row r="1090" spans="2:6" ht="11.25">
      <c r="B1090" s="44" t="s">
        <v>1170</v>
      </c>
      <c r="C1090" s="48" t="s">
        <v>3</v>
      </c>
      <c r="D1090" s="30"/>
      <c r="E1090" s="31">
        <f t="shared" si="49"/>
        <v>39.050847457627121</v>
      </c>
      <c r="F1090" s="38">
        <v>256</v>
      </c>
    </row>
    <row r="1091" spans="2:6" ht="11.25">
      <c r="B1091" s="44" t="s">
        <v>1171</v>
      </c>
      <c r="C1091" s="48" t="s">
        <v>3</v>
      </c>
      <c r="D1091" s="30"/>
      <c r="E1091" s="31">
        <f t="shared" si="49"/>
        <v>43.16949152542373</v>
      </c>
      <c r="F1091" s="38">
        <v>283</v>
      </c>
    </row>
    <row r="1092" spans="2:6" ht="11.25">
      <c r="B1092" s="44" t="s">
        <v>1172</v>
      </c>
      <c r="C1092" s="48" t="s">
        <v>3</v>
      </c>
      <c r="D1092" s="30"/>
      <c r="E1092" s="31">
        <f t="shared" si="49"/>
        <v>42.711864406779661</v>
      </c>
      <c r="F1092" s="38">
        <v>280</v>
      </c>
    </row>
    <row r="1093" spans="2:6" ht="11.25">
      <c r="B1093" s="44" t="s">
        <v>1173</v>
      </c>
      <c r="C1093" s="48" t="s">
        <v>3</v>
      </c>
      <c r="D1093" s="30"/>
      <c r="E1093" s="31">
        <f t="shared" si="49"/>
        <v>115.16949152542374</v>
      </c>
      <c r="F1093" s="38">
        <v>755</v>
      </c>
    </row>
    <row r="1094" spans="2:6" ht="11.25">
      <c r="B1094" s="44" t="s">
        <v>1174</v>
      </c>
      <c r="C1094" s="48" t="s">
        <v>3</v>
      </c>
      <c r="D1094" s="30"/>
      <c r="E1094" s="31">
        <f t="shared" si="49"/>
        <v>141.10169491525426</v>
      </c>
      <c r="F1094" s="38">
        <v>925</v>
      </c>
    </row>
    <row r="1095" spans="2:6" ht="11.25">
      <c r="B1095" s="44" t="s">
        <v>1175</v>
      </c>
      <c r="C1095" s="48" t="s">
        <v>3</v>
      </c>
      <c r="D1095" s="30"/>
      <c r="E1095" s="31">
        <f t="shared" si="49"/>
        <v>8.3898305084745779</v>
      </c>
      <c r="F1095" s="38">
        <v>55</v>
      </c>
    </row>
    <row r="1096" spans="2:6" ht="11.25">
      <c r="B1096" s="44" t="s">
        <v>1176</v>
      </c>
      <c r="C1096" s="48" t="s">
        <v>3</v>
      </c>
      <c r="D1096" s="30"/>
      <c r="E1096" s="31">
        <f t="shared" si="49"/>
        <v>6.9223728813559324</v>
      </c>
      <c r="F1096" s="38">
        <v>45.38</v>
      </c>
    </row>
    <row r="1097" spans="2:6" ht="11.25">
      <c r="B1097" s="44" t="s">
        <v>1177</v>
      </c>
      <c r="C1097" s="48" t="s">
        <v>3</v>
      </c>
      <c r="D1097" s="30"/>
      <c r="E1097" s="31">
        <f t="shared" si="49"/>
        <v>5.8866101694915258</v>
      </c>
      <c r="F1097" s="38">
        <v>38.590000000000003</v>
      </c>
    </row>
    <row r="1098" spans="2:6" ht="11.25">
      <c r="B1098" s="44" t="s">
        <v>1178</v>
      </c>
      <c r="C1098" s="48" t="s">
        <v>3</v>
      </c>
      <c r="D1098" s="37">
        <f>+F1098-E1098</f>
        <v>115.25423728813558</v>
      </c>
      <c r="E1098" s="31">
        <f t="shared" si="49"/>
        <v>20.745762711864408</v>
      </c>
      <c r="F1098" s="38">
        <v>136</v>
      </c>
    </row>
    <row r="1099" spans="2:6" ht="11.25">
      <c r="B1099" s="44" t="s">
        <v>1179</v>
      </c>
      <c r="C1099" s="48" t="s">
        <v>3</v>
      </c>
      <c r="D1099" s="30"/>
      <c r="E1099" s="31">
        <f t="shared" si="49"/>
        <v>21.549661016949152</v>
      </c>
      <c r="F1099" s="38">
        <v>141.27000000000001</v>
      </c>
    </row>
    <row r="1100" spans="2:6" ht="11.25">
      <c r="B1100" s="44" t="s">
        <v>1180</v>
      </c>
      <c r="C1100" s="48" t="s">
        <v>3</v>
      </c>
      <c r="D1100" s="30"/>
      <c r="E1100" s="31">
        <f t="shared" si="49"/>
        <v>6.101694915254237</v>
      </c>
      <c r="F1100" s="38">
        <v>40</v>
      </c>
    </row>
    <row r="1101" spans="2:6" ht="11.25">
      <c r="B1101" s="44" t="s">
        <v>1181</v>
      </c>
      <c r="C1101" s="48" t="s">
        <v>3</v>
      </c>
      <c r="D1101" s="30"/>
      <c r="E1101" s="31">
        <f t="shared" si="49"/>
        <v>27.915254237288135</v>
      </c>
      <c r="F1101" s="38">
        <v>183</v>
      </c>
    </row>
    <row r="1102" spans="2:6" ht="11.25">
      <c r="B1102" s="44" t="s">
        <v>1182</v>
      </c>
      <c r="C1102" s="48" t="s">
        <v>3</v>
      </c>
      <c r="D1102" s="30"/>
      <c r="E1102" s="31">
        <f t="shared" si="49"/>
        <v>42.711864406779661</v>
      </c>
      <c r="F1102" s="38">
        <v>280</v>
      </c>
    </row>
    <row r="1103" spans="2:6" ht="11.25">
      <c r="B1103" s="44" t="s">
        <v>1183</v>
      </c>
      <c r="C1103" s="48" t="s">
        <v>3</v>
      </c>
      <c r="D1103" s="30"/>
      <c r="E1103" s="31">
        <f t="shared" si="49"/>
        <v>39.66101694915254</v>
      </c>
      <c r="F1103" s="38">
        <v>260</v>
      </c>
    </row>
    <row r="1104" spans="2:6" ht="11.25">
      <c r="B1104" s="44" t="s">
        <v>1184</v>
      </c>
      <c r="C1104" s="48" t="s">
        <v>3</v>
      </c>
      <c r="D1104" s="30"/>
      <c r="E1104" s="31">
        <f t="shared" si="49"/>
        <v>77.033898305084747</v>
      </c>
      <c r="F1104" s="38">
        <v>505</v>
      </c>
    </row>
    <row r="1105" spans="2:6" ht="11.25">
      <c r="B1105" s="44" t="s">
        <v>1688</v>
      </c>
      <c r="C1105" s="48" t="s">
        <v>3</v>
      </c>
      <c r="D1105" s="37">
        <f>+F1105-E1105</f>
        <v>707.62711864406776</v>
      </c>
      <c r="E1105" s="31">
        <f t="shared" si="49"/>
        <v>127.37288135593219</v>
      </c>
      <c r="F1105" s="38">
        <v>835</v>
      </c>
    </row>
    <row r="1106" spans="2:6" ht="11.25">
      <c r="B1106" s="44" t="s">
        <v>1185</v>
      </c>
      <c r="C1106" s="48" t="s">
        <v>3</v>
      </c>
      <c r="D1106" s="30"/>
      <c r="E1106" s="31">
        <f t="shared" si="49"/>
        <v>98.389830508474574</v>
      </c>
      <c r="F1106" s="38">
        <v>645</v>
      </c>
    </row>
    <row r="1107" spans="2:6" ht="11.25">
      <c r="B1107" s="44" t="s">
        <v>1186</v>
      </c>
      <c r="C1107" s="48" t="s">
        <v>3</v>
      </c>
      <c r="D1107" s="30"/>
      <c r="E1107" s="31">
        <f t="shared" ref="E1107:E1166" si="52">+F1107*0.18/1.18</f>
        <v>163.22033898305085</v>
      </c>
      <c r="F1107" s="38">
        <v>1070</v>
      </c>
    </row>
    <row r="1108" spans="2:6" ht="11.25">
      <c r="B1108" s="44" t="s">
        <v>1187</v>
      </c>
      <c r="C1108" s="48" t="s">
        <v>3</v>
      </c>
      <c r="D1108" s="30"/>
      <c r="E1108" s="31">
        <f t="shared" si="52"/>
        <v>255.05694915254239</v>
      </c>
      <c r="F1108" s="38">
        <v>1672.04</v>
      </c>
    </row>
    <row r="1109" spans="2:6" ht="11.25">
      <c r="B1109" s="44" t="s">
        <v>1188</v>
      </c>
      <c r="C1109" s="48" t="s">
        <v>3</v>
      </c>
      <c r="D1109" s="30"/>
      <c r="E1109" s="31">
        <f t="shared" si="52"/>
        <v>61.016949152542374</v>
      </c>
      <c r="F1109" s="38">
        <v>400</v>
      </c>
    </row>
    <row r="1110" spans="2:6" ht="11.25">
      <c r="B1110" s="44" t="s">
        <v>1189</v>
      </c>
      <c r="C1110" s="48" t="s">
        <v>3</v>
      </c>
      <c r="D1110" s="30"/>
      <c r="E1110" s="31">
        <f t="shared" si="52"/>
        <v>2.898305084745763</v>
      </c>
      <c r="F1110" s="38">
        <v>19</v>
      </c>
    </row>
    <row r="1111" spans="2:6" ht="11.25">
      <c r="B1111" s="44" t="s">
        <v>1190</v>
      </c>
      <c r="C1111" s="48" t="s">
        <v>3</v>
      </c>
      <c r="D1111" s="30"/>
      <c r="E1111" s="31">
        <f t="shared" si="52"/>
        <v>5.796610169491526</v>
      </c>
      <c r="F1111" s="38">
        <v>38</v>
      </c>
    </row>
    <row r="1112" spans="2:6" ht="11.25">
      <c r="B1112" s="44" t="s">
        <v>1191</v>
      </c>
      <c r="C1112" s="48" t="s">
        <v>3</v>
      </c>
      <c r="D1112" s="30"/>
      <c r="E1112" s="31">
        <f t="shared" si="52"/>
        <v>7.4745762711864412</v>
      </c>
      <c r="F1112" s="38">
        <v>49</v>
      </c>
    </row>
    <row r="1113" spans="2:6" ht="11.25">
      <c r="B1113" s="44" t="s">
        <v>1192</v>
      </c>
      <c r="C1113" s="48" t="s">
        <v>3</v>
      </c>
      <c r="D1113" s="30"/>
      <c r="E1113" s="31">
        <f t="shared" si="52"/>
        <v>12.508474576271187</v>
      </c>
      <c r="F1113" s="38">
        <v>82</v>
      </c>
    </row>
    <row r="1114" spans="2:6" ht="11.25">
      <c r="B1114" s="44" t="s">
        <v>1193</v>
      </c>
      <c r="C1114" s="48" t="s">
        <v>3</v>
      </c>
      <c r="D1114" s="30"/>
      <c r="E1114" s="31">
        <f t="shared" si="52"/>
        <v>7.4745762711864412</v>
      </c>
      <c r="F1114" s="38">
        <v>49</v>
      </c>
    </row>
    <row r="1115" spans="2:6" ht="11.25">
      <c r="B1115" s="44" t="s">
        <v>1194</v>
      </c>
      <c r="C1115" s="48" t="s">
        <v>3</v>
      </c>
      <c r="D1115" s="30"/>
      <c r="E1115" s="31">
        <f t="shared" si="52"/>
        <v>26.237288135593218</v>
      </c>
      <c r="F1115" s="38">
        <v>172</v>
      </c>
    </row>
    <row r="1116" spans="2:6" ht="11.25">
      <c r="B1116" s="44" t="s">
        <v>1195</v>
      </c>
      <c r="C1116" s="48" t="s">
        <v>3</v>
      </c>
      <c r="D1116" s="30"/>
      <c r="E1116" s="31">
        <f t="shared" si="52"/>
        <v>38.898305084745765</v>
      </c>
      <c r="F1116" s="38">
        <v>255</v>
      </c>
    </row>
    <row r="1117" spans="2:6" ht="11.25">
      <c r="B1117" s="44" t="s">
        <v>1196</v>
      </c>
      <c r="C1117" s="48" t="s">
        <v>28</v>
      </c>
      <c r="D1117" s="30"/>
      <c r="E1117" s="31">
        <f t="shared" si="52"/>
        <v>0.79322033898305089</v>
      </c>
      <c r="F1117" s="38">
        <v>5.2</v>
      </c>
    </row>
    <row r="1118" spans="2:6" ht="11.25">
      <c r="B1118" s="44" t="s">
        <v>1197</v>
      </c>
      <c r="C1118" s="48" t="s">
        <v>28</v>
      </c>
      <c r="D1118" s="30"/>
      <c r="E1118" s="31">
        <f t="shared" si="52"/>
        <v>1.0525423728813559</v>
      </c>
      <c r="F1118" s="38">
        <v>6.9</v>
      </c>
    </row>
    <row r="1119" spans="2:6" ht="11.25">
      <c r="B1119" s="44" t="s">
        <v>1198</v>
      </c>
      <c r="C1119" s="48" t="s">
        <v>28</v>
      </c>
      <c r="D1119" s="30"/>
      <c r="E1119" s="31">
        <f t="shared" si="52"/>
        <v>1.243220338983051</v>
      </c>
      <c r="F1119" s="38">
        <v>8.15</v>
      </c>
    </row>
    <row r="1120" spans="2:6" ht="11.25">
      <c r="B1120" s="44" t="s">
        <v>1199</v>
      </c>
      <c r="C1120" s="48" t="s">
        <v>28</v>
      </c>
      <c r="D1120" s="30"/>
      <c r="E1120" s="31">
        <f t="shared" si="52"/>
        <v>5.3771186440677967</v>
      </c>
      <c r="F1120" s="38">
        <v>35.25</v>
      </c>
    </row>
    <row r="1121" spans="2:6" ht="11.25">
      <c r="B1121" s="44" t="s">
        <v>1200</v>
      </c>
      <c r="C1121" s="48" t="s">
        <v>28</v>
      </c>
      <c r="D1121" s="30"/>
      <c r="E1121" s="31">
        <f t="shared" si="52"/>
        <v>7.9322033898305087</v>
      </c>
      <c r="F1121" s="38">
        <v>52</v>
      </c>
    </row>
    <row r="1122" spans="2:6" ht="11.25">
      <c r="B1122" s="44" t="s">
        <v>1201</v>
      </c>
      <c r="C1122" s="48" t="s">
        <v>28</v>
      </c>
      <c r="D1122" s="30"/>
      <c r="E1122" s="31">
        <f t="shared" si="52"/>
        <v>11.440677966101696</v>
      </c>
      <c r="F1122" s="38">
        <v>75</v>
      </c>
    </row>
    <row r="1123" spans="2:6" ht="11.25">
      <c r="B1123" s="44" t="s">
        <v>1202</v>
      </c>
      <c r="C1123" s="48" t="s">
        <v>28</v>
      </c>
      <c r="D1123" s="30"/>
      <c r="E1123" s="31">
        <f t="shared" si="52"/>
        <v>18.521694915254237</v>
      </c>
      <c r="F1123" s="38">
        <v>121.42</v>
      </c>
    </row>
    <row r="1124" spans="2:6" ht="11.25">
      <c r="B1124" s="44" t="s">
        <v>1203</v>
      </c>
      <c r="C1124" s="48" t="s">
        <v>3</v>
      </c>
      <c r="D1124" s="30"/>
      <c r="E1124" s="31">
        <f t="shared" si="52"/>
        <v>23.46864406779661</v>
      </c>
      <c r="F1124" s="38">
        <v>153.85</v>
      </c>
    </row>
    <row r="1125" spans="2:6" ht="11.25">
      <c r="B1125" s="44" t="s">
        <v>1204</v>
      </c>
      <c r="C1125" s="48" t="s">
        <v>3</v>
      </c>
      <c r="D1125" s="30"/>
      <c r="E1125" s="31">
        <f t="shared" si="52"/>
        <v>36</v>
      </c>
      <c r="F1125" s="38">
        <v>236</v>
      </c>
    </row>
    <row r="1126" spans="2:6" ht="11.25">
      <c r="B1126" s="44" t="s">
        <v>1205</v>
      </c>
      <c r="C1126" s="48" t="s">
        <v>3</v>
      </c>
      <c r="D1126" s="30"/>
      <c r="E1126" s="31">
        <f t="shared" si="52"/>
        <v>50.4564406779661</v>
      </c>
      <c r="F1126" s="38">
        <v>330.77</v>
      </c>
    </row>
    <row r="1127" spans="2:6" ht="11.25">
      <c r="B1127" s="44" t="s">
        <v>1206</v>
      </c>
      <c r="C1127" s="48" t="s">
        <v>3</v>
      </c>
      <c r="D1127" s="30"/>
      <c r="E1127" s="31">
        <f t="shared" si="52"/>
        <v>89.731525423728826</v>
      </c>
      <c r="F1127" s="38">
        <v>588.24</v>
      </c>
    </row>
    <row r="1128" spans="2:6" ht="11.25">
      <c r="B1128" s="44" t="s">
        <v>1207</v>
      </c>
      <c r="C1128" s="48" t="s">
        <v>3</v>
      </c>
      <c r="D1128" s="30"/>
      <c r="E1128" s="31">
        <f t="shared" si="52"/>
        <v>132.62949152542373</v>
      </c>
      <c r="F1128" s="38">
        <v>869.46</v>
      </c>
    </row>
    <row r="1129" spans="2:6" ht="11.25">
      <c r="B1129" s="44" t="s">
        <v>1208</v>
      </c>
      <c r="C1129" s="48" t="s">
        <v>3</v>
      </c>
      <c r="D1129" s="30"/>
      <c r="E1129" s="31">
        <f t="shared" si="52"/>
        <v>318.46118644067798</v>
      </c>
      <c r="F1129" s="38">
        <v>2087.69</v>
      </c>
    </row>
    <row r="1130" spans="2:6" ht="11.25">
      <c r="B1130" s="44" t="s">
        <v>1209</v>
      </c>
      <c r="C1130" s="48" t="s">
        <v>3</v>
      </c>
      <c r="D1130" s="30"/>
      <c r="E1130" s="31">
        <f t="shared" si="52"/>
        <v>365.33898305084745</v>
      </c>
      <c r="F1130" s="38">
        <v>2395</v>
      </c>
    </row>
    <row r="1131" spans="2:6" ht="11.25">
      <c r="B1131" s="35" t="s">
        <v>1210</v>
      </c>
      <c r="C1131" s="48" t="s">
        <v>3</v>
      </c>
      <c r="D1131" s="30"/>
      <c r="E1131" s="31">
        <f t="shared" si="52"/>
        <v>0.49118644067796613</v>
      </c>
      <c r="F1131" s="38">
        <v>3.22</v>
      </c>
    </row>
    <row r="1132" spans="2:6" ht="11.25">
      <c r="B1132" s="35" t="s">
        <v>1211</v>
      </c>
      <c r="C1132" s="48" t="s">
        <v>3</v>
      </c>
      <c r="D1132" s="30"/>
      <c r="E1132" s="31">
        <f t="shared" si="52"/>
        <v>0.56135593220338986</v>
      </c>
      <c r="F1132" s="38">
        <v>3.68</v>
      </c>
    </row>
    <row r="1133" spans="2:6" ht="11.25">
      <c r="B1133" s="35" t="s">
        <v>1212</v>
      </c>
      <c r="C1133" s="48" t="s">
        <v>3</v>
      </c>
      <c r="D1133" s="30"/>
      <c r="E1133" s="31">
        <f t="shared" si="52"/>
        <v>0.79627118644067796</v>
      </c>
      <c r="F1133" s="38">
        <v>5.22</v>
      </c>
    </row>
    <row r="1134" spans="2:6" ht="11.25">
      <c r="B1134" s="35" t="s">
        <v>1213</v>
      </c>
      <c r="C1134" s="48" t="s">
        <v>3</v>
      </c>
      <c r="D1134" s="30"/>
      <c r="E1134" s="31">
        <f t="shared" si="52"/>
        <v>1.6749152542372883</v>
      </c>
      <c r="F1134" s="38">
        <v>10.98</v>
      </c>
    </row>
    <row r="1135" spans="2:6" ht="11.25">
      <c r="B1135" s="35" t="s">
        <v>1214</v>
      </c>
      <c r="C1135" s="48" t="s">
        <v>3</v>
      </c>
      <c r="D1135" s="30"/>
      <c r="E1135" s="31">
        <f t="shared" si="52"/>
        <v>2.1127118644067795</v>
      </c>
      <c r="F1135" s="38">
        <v>13.85</v>
      </c>
    </row>
    <row r="1136" spans="2:6" ht="11.25">
      <c r="B1136" s="35" t="s">
        <v>1215</v>
      </c>
      <c r="C1136" s="48" t="s">
        <v>3</v>
      </c>
      <c r="D1136" s="30"/>
      <c r="E1136" s="31">
        <f t="shared" si="52"/>
        <v>7.074915254237288</v>
      </c>
      <c r="F1136" s="38">
        <v>46.38</v>
      </c>
    </row>
    <row r="1137" spans="2:6" ht="11.25">
      <c r="B1137" s="35" t="s">
        <v>1216</v>
      </c>
      <c r="C1137" s="48" t="s">
        <v>3</v>
      </c>
      <c r="D1137" s="30"/>
      <c r="E1137" s="31">
        <f t="shared" si="52"/>
        <v>10.594067796610169</v>
      </c>
      <c r="F1137" s="38">
        <v>69.45</v>
      </c>
    </row>
    <row r="1138" spans="2:6" ht="11.25">
      <c r="B1138" s="35" t="s">
        <v>1217</v>
      </c>
      <c r="C1138" s="48" t="s">
        <v>3</v>
      </c>
      <c r="D1138" s="30"/>
      <c r="E1138" s="31">
        <f t="shared" si="52"/>
        <v>2.2866101694915253</v>
      </c>
      <c r="F1138" s="38">
        <v>14.99</v>
      </c>
    </row>
    <row r="1139" spans="2:6" ht="11.25">
      <c r="B1139" s="35" t="s">
        <v>1218</v>
      </c>
      <c r="C1139" s="48" t="s">
        <v>3</v>
      </c>
      <c r="D1139" s="30"/>
      <c r="E1139" s="31">
        <f t="shared" si="52"/>
        <v>4.2711864406779663</v>
      </c>
      <c r="F1139" s="38">
        <v>28</v>
      </c>
    </row>
    <row r="1140" spans="2:6" ht="11.25">
      <c r="B1140" s="35" t="s">
        <v>1219</v>
      </c>
      <c r="C1140" s="48" t="s">
        <v>3</v>
      </c>
      <c r="D1140" s="30"/>
      <c r="E1140" s="31">
        <f t="shared" si="52"/>
        <v>4.5747457627118644</v>
      </c>
      <c r="F1140" s="38">
        <v>29.99</v>
      </c>
    </row>
    <row r="1141" spans="2:6" ht="11.25">
      <c r="B1141" s="35" t="s">
        <v>1220</v>
      </c>
      <c r="C1141" s="48" t="s">
        <v>3</v>
      </c>
      <c r="D1141" s="30"/>
      <c r="E1141" s="31">
        <f t="shared" si="52"/>
        <v>11.077627118644068</v>
      </c>
      <c r="F1141" s="38">
        <v>72.62</v>
      </c>
    </row>
    <row r="1142" spans="2:6" ht="11.25">
      <c r="B1142" s="35" t="s">
        <v>1221</v>
      </c>
      <c r="C1142" s="48" t="s">
        <v>3</v>
      </c>
      <c r="D1142" s="30"/>
      <c r="E1142" s="31">
        <f t="shared" si="52"/>
        <v>15.960508474576271</v>
      </c>
      <c r="F1142" s="38">
        <v>104.63</v>
      </c>
    </row>
    <row r="1143" spans="2:6" ht="11.25">
      <c r="B1143" s="35" t="s">
        <v>1222</v>
      </c>
      <c r="C1143" s="48" t="s">
        <v>3</v>
      </c>
      <c r="D1143" s="30"/>
      <c r="E1143" s="31">
        <f t="shared" si="52"/>
        <v>49.846271186440674</v>
      </c>
      <c r="F1143" s="38">
        <v>326.77</v>
      </c>
    </row>
    <row r="1144" spans="2:6" ht="11.25">
      <c r="B1144" s="35" t="s">
        <v>1223</v>
      </c>
      <c r="C1144" s="48" t="s">
        <v>3</v>
      </c>
      <c r="D1144" s="30"/>
      <c r="E1144" s="31">
        <f t="shared" si="52"/>
        <v>39.966101694915253</v>
      </c>
      <c r="F1144" s="38">
        <v>262</v>
      </c>
    </row>
    <row r="1145" spans="2:6" ht="11.25">
      <c r="B1145" s="35" t="s">
        <v>1224</v>
      </c>
      <c r="C1145" s="48" t="s">
        <v>3</v>
      </c>
      <c r="D1145" s="30"/>
      <c r="E1145" s="31">
        <f t="shared" si="52"/>
        <v>1.5467796610169491</v>
      </c>
      <c r="F1145" s="38">
        <v>10.14</v>
      </c>
    </row>
    <row r="1146" spans="2:6" ht="11.25">
      <c r="B1146" s="35" t="s">
        <v>1225</v>
      </c>
      <c r="C1146" s="48" t="s">
        <v>3</v>
      </c>
      <c r="D1146" s="30"/>
      <c r="E1146" s="31">
        <f t="shared" si="52"/>
        <v>3.6000000000000005</v>
      </c>
      <c r="F1146" s="38">
        <v>23.6</v>
      </c>
    </row>
    <row r="1147" spans="2:6" ht="11.25">
      <c r="B1147" s="35" t="s">
        <v>1226</v>
      </c>
      <c r="C1147" s="48" t="s">
        <v>3</v>
      </c>
      <c r="D1147" s="30"/>
      <c r="E1147" s="31">
        <f t="shared" si="52"/>
        <v>3.8135593220338984</v>
      </c>
      <c r="F1147" s="38">
        <v>25</v>
      </c>
    </row>
    <row r="1148" spans="2:6" ht="11.25">
      <c r="B1148" s="35" t="s">
        <v>1227</v>
      </c>
      <c r="C1148" s="48" t="s">
        <v>3</v>
      </c>
      <c r="D1148" s="30"/>
      <c r="E1148" s="31">
        <f t="shared" si="52"/>
        <v>11.135593220338983</v>
      </c>
      <c r="F1148" s="38">
        <v>73</v>
      </c>
    </row>
    <row r="1149" spans="2:6" ht="11.25">
      <c r="B1149" s="35" t="s">
        <v>1228</v>
      </c>
      <c r="C1149" s="48" t="s">
        <v>3</v>
      </c>
      <c r="D1149" s="30"/>
      <c r="E1149" s="31">
        <f t="shared" si="52"/>
        <v>15.40677966101695</v>
      </c>
      <c r="F1149" s="38">
        <v>101</v>
      </c>
    </row>
    <row r="1150" spans="2:6" ht="11.25">
      <c r="B1150" s="44" t="s">
        <v>1229</v>
      </c>
      <c r="C1150" s="48" t="s">
        <v>3</v>
      </c>
      <c r="D1150" s="30"/>
      <c r="E1150" s="31">
        <f t="shared" si="52"/>
        <v>7.3220338983050857</v>
      </c>
      <c r="F1150" s="38">
        <v>48</v>
      </c>
    </row>
    <row r="1151" spans="2:6" ht="11.25">
      <c r="B1151" s="44" t="s">
        <v>1230</v>
      </c>
      <c r="C1151" s="48" t="s">
        <v>3</v>
      </c>
      <c r="D1151" s="30"/>
      <c r="E1151" s="31">
        <f t="shared" si="52"/>
        <v>9.9152542372881349</v>
      </c>
      <c r="F1151" s="38">
        <v>65</v>
      </c>
    </row>
    <row r="1152" spans="2:6" ht="11.25">
      <c r="B1152" s="44" t="s">
        <v>1231</v>
      </c>
      <c r="C1152" s="48" t="s">
        <v>3</v>
      </c>
      <c r="D1152" s="30"/>
      <c r="E1152" s="31">
        <f t="shared" si="52"/>
        <v>12.508474576271187</v>
      </c>
      <c r="F1152" s="38">
        <v>82</v>
      </c>
    </row>
    <row r="1153" spans="2:6" ht="11.25">
      <c r="B1153" s="44" t="s">
        <v>1232</v>
      </c>
      <c r="C1153" s="48" t="s">
        <v>3</v>
      </c>
      <c r="D1153" s="30"/>
      <c r="E1153" s="31">
        <f t="shared" si="52"/>
        <v>26.694915254237291</v>
      </c>
      <c r="F1153" s="38">
        <v>175</v>
      </c>
    </row>
    <row r="1154" spans="2:6" ht="11.25">
      <c r="B1154" s="44" t="s">
        <v>1233</v>
      </c>
      <c r="C1154" s="48" t="s">
        <v>3</v>
      </c>
      <c r="D1154" s="30"/>
      <c r="E1154" s="31">
        <f t="shared" si="52"/>
        <v>33.559322033898312</v>
      </c>
      <c r="F1154" s="38">
        <v>220</v>
      </c>
    </row>
    <row r="1155" spans="2:6" ht="11.25">
      <c r="B1155" s="44" t="s">
        <v>1234</v>
      </c>
      <c r="C1155" s="48" t="s">
        <v>3</v>
      </c>
      <c r="D1155" s="30"/>
      <c r="E1155" s="31">
        <f t="shared" si="52"/>
        <v>125.08474576271186</v>
      </c>
      <c r="F1155" s="38">
        <v>820</v>
      </c>
    </row>
    <row r="1156" spans="2:6" ht="11.25">
      <c r="B1156" s="44" t="s">
        <v>1235</v>
      </c>
      <c r="C1156" s="48" t="s">
        <v>3</v>
      </c>
      <c r="D1156" s="30"/>
      <c r="E1156" s="31">
        <f t="shared" si="52"/>
        <v>12.203389830508474</v>
      </c>
      <c r="F1156" s="38">
        <v>80</v>
      </c>
    </row>
    <row r="1157" spans="2:6" ht="11.25">
      <c r="B1157" s="44" t="s">
        <v>1236</v>
      </c>
      <c r="C1157" s="48" t="s">
        <v>3</v>
      </c>
      <c r="D1157" s="30"/>
      <c r="E1157" s="31">
        <f t="shared" si="52"/>
        <v>321.86440677966107</v>
      </c>
      <c r="F1157" s="38">
        <v>2110</v>
      </c>
    </row>
    <row r="1158" spans="2:6" ht="11.25">
      <c r="B1158" s="44" t="s">
        <v>1237</v>
      </c>
      <c r="C1158" s="48" t="s">
        <v>3</v>
      </c>
      <c r="D1158" s="30"/>
      <c r="E1158" s="31">
        <f t="shared" si="52"/>
        <v>123.40677966101696</v>
      </c>
      <c r="F1158" s="38">
        <v>809</v>
      </c>
    </row>
    <row r="1159" spans="2:6" ht="11.25">
      <c r="B1159" s="44" t="s">
        <v>1238</v>
      </c>
      <c r="C1159" s="48" t="s">
        <v>3</v>
      </c>
      <c r="D1159" s="30"/>
      <c r="E1159" s="31">
        <f t="shared" si="52"/>
        <v>168.55932203389833</v>
      </c>
      <c r="F1159" s="38">
        <v>1105</v>
      </c>
    </row>
    <row r="1160" spans="2:6" ht="11.25">
      <c r="B1160" s="44" t="s">
        <v>1239</v>
      </c>
      <c r="C1160" s="48" t="s">
        <v>3</v>
      </c>
      <c r="D1160" s="30"/>
      <c r="E1160" s="31">
        <f t="shared" si="52"/>
        <v>275.42288135593219</v>
      </c>
      <c r="F1160" s="38">
        <v>1805.55</v>
      </c>
    </row>
    <row r="1161" spans="2:6" ht="11.25">
      <c r="B1161" s="44" t="s">
        <v>1240</v>
      </c>
      <c r="C1161" s="48" t="s">
        <v>3</v>
      </c>
      <c r="D1161" s="30"/>
      <c r="E1161" s="31">
        <f t="shared" si="52"/>
        <v>330.86593220338989</v>
      </c>
      <c r="F1161" s="38">
        <v>2169.0100000000002</v>
      </c>
    </row>
    <row r="1162" spans="2:6" ht="11.25">
      <c r="B1162" s="44" t="s">
        <v>1241</v>
      </c>
      <c r="C1162" s="48" t="s">
        <v>3</v>
      </c>
      <c r="D1162" s="30"/>
      <c r="E1162" s="31">
        <f t="shared" si="52"/>
        <v>330.86593220338989</v>
      </c>
      <c r="F1162" s="38">
        <v>2169.0100000000002</v>
      </c>
    </row>
    <row r="1163" spans="2:6" ht="11.25">
      <c r="B1163" s="44" t="s">
        <v>1242</v>
      </c>
      <c r="C1163" s="48" t="s">
        <v>3</v>
      </c>
      <c r="D1163" s="30"/>
      <c r="E1163" s="31">
        <f t="shared" si="52"/>
        <v>330.86593220338989</v>
      </c>
      <c r="F1163" s="38">
        <v>2169.0100000000002</v>
      </c>
    </row>
    <row r="1164" spans="2:6" ht="11.25">
      <c r="B1164" s="44" t="s">
        <v>1243</v>
      </c>
      <c r="C1164" s="48" t="s">
        <v>3</v>
      </c>
      <c r="D1164" s="30"/>
      <c r="E1164" s="31">
        <f t="shared" si="52"/>
        <v>471.20338983050846</v>
      </c>
      <c r="F1164" s="38">
        <v>3089</v>
      </c>
    </row>
    <row r="1165" spans="2:6" ht="11.25">
      <c r="B1165" s="44" t="s">
        <v>1244</v>
      </c>
      <c r="C1165" s="48" t="s">
        <v>3</v>
      </c>
      <c r="D1165" s="30"/>
      <c r="E1165" s="31">
        <f t="shared" si="52"/>
        <v>850.27118644067798</v>
      </c>
      <c r="F1165" s="38">
        <v>5574</v>
      </c>
    </row>
    <row r="1166" spans="2:6" ht="11.25">
      <c r="B1166" s="44" t="s">
        <v>1245</v>
      </c>
      <c r="C1166" s="48" t="s">
        <v>3</v>
      </c>
      <c r="D1166" s="30"/>
      <c r="E1166" s="31">
        <f t="shared" si="52"/>
        <v>63418.679999999993</v>
      </c>
      <c r="F1166" s="38">
        <v>415744.68</v>
      </c>
    </row>
    <row r="1167" spans="2:6" ht="11.25">
      <c r="C1167" s="48"/>
      <c r="D1167" s="30"/>
      <c r="E1167" s="31"/>
      <c r="F1167" s="38"/>
    </row>
    <row r="1168" spans="2:6" ht="11.25">
      <c r="B1168" s="32" t="s">
        <v>1246</v>
      </c>
      <c r="C1168" s="48"/>
      <c r="D1168" s="30"/>
      <c r="E1168" s="31"/>
      <c r="F1168" s="38"/>
    </row>
    <row r="1169" spans="2:6" ht="11.25">
      <c r="B1169" s="44" t="s">
        <v>1247</v>
      </c>
      <c r="C1169" s="48" t="s">
        <v>3</v>
      </c>
      <c r="D1169" s="30"/>
      <c r="E1169" s="31">
        <f t="shared" ref="E1169:E1216" si="53">+F1169*0.18/1.18</f>
        <v>16.779661016949156</v>
      </c>
      <c r="F1169" s="38">
        <v>110</v>
      </c>
    </row>
    <row r="1170" spans="2:6" ht="11.25">
      <c r="B1170" s="44" t="s">
        <v>1248</v>
      </c>
      <c r="C1170" s="48" t="s">
        <v>3</v>
      </c>
      <c r="D1170" s="30"/>
      <c r="E1170" s="31">
        <f t="shared" si="53"/>
        <v>25.932203389830509</v>
      </c>
      <c r="F1170" s="38">
        <v>170</v>
      </c>
    </row>
    <row r="1171" spans="2:6" ht="11.25">
      <c r="B1171" s="44" t="s">
        <v>1249</v>
      </c>
      <c r="C1171" s="48" t="s">
        <v>3</v>
      </c>
      <c r="D1171" s="30"/>
      <c r="E1171" s="31">
        <f t="shared" si="53"/>
        <v>38.898305084745765</v>
      </c>
      <c r="F1171" s="38">
        <v>255</v>
      </c>
    </row>
    <row r="1172" spans="2:6" ht="11.25">
      <c r="B1172" s="44" t="s">
        <v>1250</v>
      </c>
      <c r="C1172" s="48" t="s">
        <v>3</v>
      </c>
      <c r="D1172" s="30"/>
      <c r="E1172" s="31">
        <f t="shared" si="53"/>
        <v>16.779661016949156</v>
      </c>
      <c r="F1172" s="38">
        <v>110</v>
      </c>
    </row>
    <row r="1173" spans="2:6" ht="11.25">
      <c r="B1173" s="44" t="s">
        <v>1251</v>
      </c>
      <c r="C1173" s="48" t="s">
        <v>3</v>
      </c>
      <c r="D1173" s="30"/>
      <c r="E1173" s="31">
        <f t="shared" si="53"/>
        <v>23.186440677966104</v>
      </c>
      <c r="F1173" s="38">
        <v>152</v>
      </c>
    </row>
    <row r="1174" spans="2:6" ht="11.25">
      <c r="B1174" s="44" t="s">
        <v>1252</v>
      </c>
      <c r="C1174" s="48" t="s">
        <v>3</v>
      </c>
      <c r="D1174" s="30"/>
      <c r="E1174" s="31">
        <f t="shared" si="53"/>
        <v>21.35593220338983</v>
      </c>
      <c r="F1174" s="38">
        <v>140</v>
      </c>
    </row>
    <row r="1175" spans="2:6" ht="11.25">
      <c r="B1175" s="44" t="s">
        <v>1253</v>
      </c>
      <c r="C1175" s="48" t="s">
        <v>3</v>
      </c>
      <c r="D1175" s="30"/>
      <c r="E1175" s="31">
        <f t="shared" si="53"/>
        <v>33.559322033898312</v>
      </c>
      <c r="F1175" s="38">
        <v>220</v>
      </c>
    </row>
    <row r="1176" spans="2:6" ht="11.25">
      <c r="B1176" s="44" t="s">
        <v>1254</v>
      </c>
      <c r="C1176" s="48" t="s">
        <v>3</v>
      </c>
      <c r="D1176" s="30"/>
      <c r="E1176" s="31">
        <f t="shared" si="53"/>
        <v>39.508474576271183</v>
      </c>
      <c r="F1176" s="38">
        <v>259</v>
      </c>
    </row>
    <row r="1177" spans="2:6" ht="11.25">
      <c r="B1177" s="44" t="s">
        <v>1255</v>
      </c>
      <c r="C1177" s="48" t="s">
        <v>3</v>
      </c>
      <c r="D1177" s="30"/>
      <c r="E1177" s="31">
        <f t="shared" si="53"/>
        <v>28.983050847457626</v>
      </c>
      <c r="F1177" s="38">
        <v>190</v>
      </c>
    </row>
    <row r="1178" spans="2:6" ht="11.25">
      <c r="B1178" s="44" t="s">
        <v>1256</v>
      </c>
      <c r="C1178" s="48" t="s">
        <v>3</v>
      </c>
      <c r="D1178" s="30"/>
      <c r="E1178" s="31">
        <f t="shared" si="53"/>
        <v>36.762711864406775</v>
      </c>
      <c r="F1178" s="38">
        <v>241</v>
      </c>
    </row>
    <row r="1179" spans="2:6" ht="11.25">
      <c r="B1179" s="44" t="s">
        <v>1257</v>
      </c>
      <c r="C1179" s="48" t="s">
        <v>3</v>
      </c>
      <c r="D1179" s="30"/>
      <c r="E1179" s="31">
        <f t="shared" si="53"/>
        <v>11.440677966101696</v>
      </c>
      <c r="F1179" s="38">
        <v>75</v>
      </c>
    </row>
    <row r="1180" spans="2:6" ht="11.25">
      <c r="B1180" s="44" t="s">
        <v>1258</v>
      </c>
      <c r="C1180" s="48" t="s">
        <v>3</v>
      </c>
      <c r="D1180" s="30"/>
      <c r="E1180" s="31">
        <f t="shared" si="53"/>
        <v>20.593220338983052</v>
      </c>
      <c r="F1180" s="38">
        <v>135</v>
      </c>
    </row>
    <row r="1181" spans="2:6" ht="11.25">
      <c r="B1181" s="44" t="s">
        <v>1259</v>
      </c>
      <c r="C1181" s="48" t="s">
        <v>3</v>
      </c>
      <c r="D1181" s="30"/>
      <c r="E1181" s="31">
        <f t="shared" si="53"/>
        <v>25.779661016949152</v>
      </c>
      <c r="F1181" s="38">
        <v>169</v>
      </c>
    </row>
    <row r="1182" spans="2:6" ht="11.25">
      <c r="B1182" s="44" t="s">
        <v>1260</v>
      </c>
      <c r="C1182" s="48" t="s">
        <v>3</v>
      </c>
      <c r="D1182" s="30"/>
      <c r="E1182" s="31">
        <f t="shared" si="53"/>
        <v>38.898305084745765</v>
      </c>
      <c r="F1182" s="38">
        <v>255</v>
      </c>
    </row>
    <row r="1183" spans="2:6" ht="11.25">
      <c r="B1183" s="44" t="s">
        <v>1261</v>
      </c>
      <c r="C1183" s="48" t="s">
        <v>3</v>
      </c>
      <c r="D1183" s="30"/>
      <c r="E1183" s="31">
        <f t="shared" si="53"/>
        <v>42.711864406779661</v>
      </c>
      <c r="F1183" s="38">
        <v>280</v>
      </c>
    </row>
    <row r="1184" spans="2:6" ht="11.25">
      <c r="B1184" s="44" t="s">
        <v>1262</v>
      </c>
      <c r="C1184" s="48" t="s">
        <v>3</v>
      </c>
      <c r="D1184" s="30"/>
      <c r="E1184" s="31">
        <f t="shared" si="53"/>
        <v>21.35593220338983</v>
      </c>
      <c r="F1184" s="38">
        <v>140</v>
      </c>
    </row>
    <row r="1185" spans="2:6" ht="11.25">
      <c r="B1185" s="44" t="s">
        <v>1263</v>
      </c>
      <c r="C1185" s="48" t="s">
        <v>3</v>
      </c>
      <c r="D1185" s="30"/>
      <c r="E1185" s="31">
        <f t="shared" si="53"/>
        <v>42.711864406779661</v>
      </c>
      <c r="F1185" s="38">
        <v>280</v>
      </c>
    </row>
    <row r="1186" spans="2:6" ht="11.25">
      <c r="B1186" s="44" t="s">
        <v>1264</v>
      </c>
      <c r="C1186" s="48" t="s">
        <v>3</v>
      </c>
      <c r="D1186" s="30"/>
      <c r="E1186" s="31">
        <f t="shared" si="53"/>
        <v>44.237288135593218</v>
      </c>
      <c r="F1186" s="38">
        <v>290</v>
      </c>
    </row>
    <row r="1187" spans="2:6" ht="11.25">
      <c r="B1187" s="44" t="s">
        <v>1265</v>
      </c>
      <c r="C1187" s="48" t="s">
        <v>3</v>
      </c>
      <c r="D1187" s="30"/>
      <c r="E1187" s="31">
        <f t="shared" si="53"/>
        <v>24.101694915254235</v>
      </c>
      <c r="F1187" s="38">
        <v>158</v>
      </c>
    </row>
    <row r="1188" spans="2:6" ht="11.25">
      <c r="B1188" s="44" t="s">
        <v>1266</v>
      </c>
      <c r="C1188" s="48" t="s">
        <v>3</v>
      </c>
      <c r="D1188" s="30"/>
      <c r="E1188" s="31">
        <f t="shared" si="53"/>
        <v>24.101694915254235</v>
      </c>
      <c r="F1188" s="38">
        <v>158</v>
      </c>
    </row>
    <row r="1189" spans="2:6" ht="11.25">
      <c r="B1189" s="44" t="s">
        <v>1267</v>
      </c>
      <c r="C1189" s="48" t="s">
        <v>3</v>
      </c>
      <c r="D1189" s="30"/>
      <c r="E1189" s="31">
        <f t="shared" si="53"/>
        <v>41.186440677966104</v>
      </c>
      <c r="F1189" s="38">
        <v>270</v>
      </c>
    </row>
    <row r="1190" spans="2:6" ht="11.25">
      <c r="B1190" s="44" t="s">
        <v>1268</v>
      </c>
      <c r="C1190" s="48" t="s">
        <v>3</v>
      </c>
      <c r="D1190" s="30"/>
      <c r="E1190" s="31">
        <f t="shared" si="53"/>
        <v>22.881355932203391</v>
      </c>
      <c r="F1190" s="38">
        <v>150</v>
      </c>
    </row>
    <row r="1191" spans="2:6" ht="11.25">
      <c r="B1191" s="44" t="s">
        <v>1269</v>
      </c>
      <c r="C1191" s="48" t="s">
        <v>3</v>
      </c>
      <c r="D1191" s="30"/>
      <c r="E1191" s="31">
        <f t="shared" si="53"/>
        <v>25.932203389830509</v>
      </c>
      <c r="F1191" s="38">
        <v>170</v>
      </c>
    </row>
    <row r="1192" spans="2:6" ht="11.25">
      <c r="B1192" s="44" t="s">
        <v>1270</v>
      </c>
      <c r="C1192" s="48" t="s">
        <v>3</v>
      </c>
      <c r="D1192" s="30"/>
      <c r="E1192" s="31">
        <f t="shared" si="53"/>
        <v>15.254237288135593</v>
      </c>
      <c r="F1192" s="38">
        <v>100</v>
      </c>
    </row>
    <row r="1193" spans="2:6" ht="11.25">
      <c r="B1193" s="44" t="s">
        <v>1271</v>
      </c>
      <c r="C1193" s="48" t="s">
        <v>3</v>
      </c>
      <c r="D1193" s="30"/>
      <c r="E1193" s="31">
        <f t="shared" si="53"/>
        <v>21.35593220338983</v>
      </c>
      <c r="F1193" s="38">
        <v>140</v>
      </c>
    </row>
    <row r="1194" spans="2:6" ht="11.25">
      <c r="B1194" s="44" t="s">
        <v>1272</v>
      </c>
      <c r="C1194" s="48" t="s">
        <v>3</v>
      </c>
      <c r="D1194" s="30"/>
      <c r="E1194" s="31">
        <f t="shared" si="53"/>
        <v>69.406779661016941</v>
      </c>
      <c r="F1194" s="38">
        <v>455</v>
      </c>
    </row>
    <row r="1195" spans="2:6" ht="11.25">
      <c r="B1195" s="44" t="s">
        <v>1273</v>
      </c>
      <c r="C1195" s="48" t="s">
        <v>3</v>
      </c>
      <c r="D1195" s="30"/>
      <c r="E1195" s="31">
        <f t="shared" si="53"/>
        <v>80.847457627118644</v>
      </c>
      <c r="F1195" s="38">
        <v>530</v>
      </c>
    </row>
    <row r="1196" spans="2:6" ht="11.25">
      <c r="B1196" s="44" t="s">
        <v>1274</v>
      </c>
      <c r="C1196" s="48" t="s">
        <v>3</v>
      </c>
      <c r="D1196" s="30"/>
      <c r="E1196" s="31">
        <f t="shared" si="53"/>
        <v>92.288135593220332</v>
      </c>
      <c r="F1196" s="38">
        <v>605</v>
      </c>
    </row>
    <row r="1197" spans="2:6" ht="11.25">
      <c r="B1197" s="44" t="s">
        <v>1275</v>
      </c>
      <c r="C1197" s="48" t="s">
        <v>3</v>
      </c>
      <c r="D1197" s="30"/>
      <c r="E1197" s="31">
        <f t="shared" si="53"/>
        <v>60.255762711864406</v>
      </c>
      <c r="F1197" s="38">
        <v>395.01</v>
      </c>
    </row>
    <row r="1198" spans="2:6" ht="11.25">
      <c r="B1198" s="44" t="s">
        <v>1276</v>
      </c>
      <c r="C1198" s="48" t="s">
        <v>3</v>
      </c>
      <c r="D1198" s="30"/>
      <c r="E1198" s="31">
        <f t="shared" si="53"/>
        <v>91.525423728813564</v>
      </c>
      <c r="F1198" s="38">
        <v>600</v>
      </c>
    </row>
    <row r="1199" spans="2:6" ht="11.25">
      <c r="B1199" s="44" t="s">
        <v>1277</v>
      </c>
      <c r="C1199" s="48" t="s">
        <v>3</v>
      </c>
      <c r="D1199" s="30"/>
      <c r="E1199" s="31">
        <f t="shared" si="53"/>
        <v>71.694915254237287</v>
      </c>
      <c r="F1199" s="38">
        <v>470</v>
      </c>
    </row>
    <row r="1200" spans="2:6" ht="11.25">
      <c r="B1200" s="44" t="s">
        <v>1278</v>
      </c>
      <c r="C1200" s="48" t="s">
        <v>3</v>
      </c>
      <c r="D1200" s="30"/>
      <c r="E1200" s="31">
        <f t="shared" si="53"/>
        <v>86.186440677966104</v>
      </c>
      <c r="F1200" s="38">
        <v>565</v>
      </c>
    </row>
    <row r="1201" spans="2:6" ht="11.25">
      <c r="B1201" s="44" t="s">
        <v>1279</v>
      </c>
      <c r="C1201" s="48" t="s">
        <v>3</v>
      </c>
      <c r="D1201" s="30"/>
      <c r="E1201" s="31">
        <f t="shared" si="53"/>
        <v>42.711864406779661</v>
      </c>
      <c r="F1201" s="38">
        <v>280</v>
      </c>
    </row>
    <row r="1202" spans="2:6" ht="11.25">
      <c r="B1202" s="44" t="s">
        <v>1280</v>
      </c>
      <c r="C1202" s="48" t="s">
        <v>3</v>
      </c>
      <c r="D1202" s="30"/>
      <c r="E1202" s="31">
        <f t="shared" si="53"/>
        <v>54.915254237288138</v>
      </c>
      <c r="F1202" s="38">
        <v>360</v>
      </c>
    </row>
    <row r="1203" spans="2:6" ht="11.25">
      <c r="B1203" s="44" t="s">
        <v>1281</v>
      </c>
      <c r="C1203" s="48" t="s">
        <v>3</v>
      </c>
      <c r="D1203" s="30"/>
      <c r="E1203" s="31">
        <f t="shared" si="53"/>
        <v>68.644067796610173</v>
      </c>
      <c r="F1203" s="38">
        <v>450</v>
      </c>
    </row>
    <row r="1204" spans="2:6" ht="11.25">
      <c r="B1204" s="44" t="s">
        <v>1282</v>
      </c>
      <c r="C1204" s="48" t="s">
        <v>3</v>
      </c>
      <c r="D1204" s="30"/>
      <c r="E1204" s="31">
        <f t="shared" si="53"/>
        <v>99.152542372881356</v>
      </c>
      <c r="F1204" s="38">
        <v>650</v>
      </c>
    </row>
    <row r="1205" spans="2:6" ht="11.25">
      <c r="B1205" s="44" t="s">
        <v>1283</v>
      </c>
      <c r="C1205" s="48" t="s">
        <v>3</v>
      </c>
      <c r="D1205" s="30"/>
      <c r="E1205" s="31">
        <f t="shared" si="53"/>
        <v>64.830508474576277</v>
      </c>
      <c r="F1205" s="38">
        <v>425</v>
      </c>
    </row>
    <row r="1206" spans="2:6" ht="11.25">
      <c r="B1206" s="44" t="s">
        <v>1284</v>
      </c>
      <c r="C1206" s="48" t="s">
        <v>3</v>
      </c>
      <c r="D1206" s="30"/>
      <c r="E1206" s="31">
        <f t="shared" si="53"/>
        <v>21.35593220338983</v>
      </c>
      <c r="F1206" s="38">
        <v>140</v>
      </c>
    </row>
    <row r="1207" spans="2:6" ht="11.25">
      <c r="B1207" s="44" t="s">
        <v>1285</v>
      </c>
      <c r="C1207" s="48" t="s">
        <v>3</v>
      </c>
      <c r="D1207" s="30"/>
      <c r="E1207" s="31">
        <f t="shared" si="53"/>
        <v>9.1525423728813546</v>
      </c>
      <c r="F1207" s="38">
        <v>60</v>
      </c>
    </row>
    <row r="1208" spans="2:6" ht="11.25">
      <c r="B1208" s="44" t="s">
        <v>1286</v>
      </c>
      <c r="C1208" s="48" t="s">
        <v>3</v>
      </c>
      <c r="D1208" s="30"/>
      <c r="E1208" s="31">
        <f t="shared" si="53"/>
        <v>9.1525423728813546</v>
      </c>
      <c r="F1208" s="38">
        <v>60</v>
      </c>
    </row>
    <row r="1209" spans="2:6" ht="11.25">
      <c r="B1209" s="44" t="s">
        <v>1287</v>
      </c>
      <c r="C1209" s="48" t="s">
        <v>3</v>
      </c>
      <c r="D1209" s="30"/>
      <c r="E1209" s="31">
        <f t="shared" si="53"/>
        <v>20.593220338983052</v>
      </c>
      <c r="F1209" s="38">
        <v>135</v>
      </c>
    </row>
    <row r="1210" spans="2:6" ht="11.25">
      <c r="B1210" s="44" t="s">
        <v>1288</v>
      </c>
      <c r="C1210" s="48" t="s">
        <v>3</v>
      </c>
      <c r="D1210" s="30"/>
      <c r="E1210" s="31">
        <f t="shared" si="53"/>
        <v>25.932203389830509</v>
      </c>
      <c r="F1210" s="38">
        <v>170</v>
      </c>
    </row>
    <row r="1211" spans="2:6" ht="16.5" customHeight="1">
      <c r="B1211" s="44" t="s">
        <v>1289</v>
      </c>
      <c r="C1211" s="48" t="s">
        <v>3</v>
      </c>
      <c r="D1211" s="30"/>
      <c r="E1211" s="31">
        <f t="shared" si="53"/>
        <v>41.186440677966104</v>
      </c>
      <c r="F1211" s="38">
        <v>270</v>
      </c>
    </row>
    <row r="1212" spans="2:6" ht="12.75" customHeight="1">
      <c r="B1212" s="44" t="s">
        <v>1290</v>
      </c>
      <c r="C1212" s="48" t="s">
        <v>3</v>
      </c>
      <c r="D1212" s="30"/>
      <c r="E1212" s="31">
        <f t="shared" si="53"/>
        <v>55.677966101694921</v>
      </c>
      <c r="F1212" s="38">
        <v>365</v>
      </c>
    </row>
    <row r="1213" spans="2:6" ht="11.25">
      <c r="B1213" s="44" t="s">
        <v>1291</v>
      </c>
      <c r="C1213" s="48" t="s">
        <v>3</v>
      </c>
      <c r="D1213" s="30"/>
      <c r="E1213" s="31">
        <f t="shared" si="53"/>
        <v>24.406779661016948</v>
      </c>
      <c r="F1213" s="38">
        <v>160</v>
      </c>
    </row>
    <row r="1214" spans="2:6" ht="11.25" customHeight="1">
      <c r="B1214" s="44" t="s">
        <v>1292</v>
      </c>
      <c r="C1214" s="48" t="s">
        <v>3</v>
      </c>
      <c r="D1214" s="30"/>
      <c r="E1214" s="31">
        <f t="shared" si="53"/>
        <v>58.728813559322035</v>
      </c>
      <c r="F1214" s="38">
        <v>385</v>
      </c>
    </row>
    <row r="1215" spans="2:6" ht="12" customHeight="1">
      <c r="B1215" s="44" t="s">
        <v>1293</v>
      </c>
      <c r="C1215" s="48" t="s">
        <v>3</v>
      </c>
      <c r="D1215" s="30"/>
      <c r="E1215" s="31">
        <f t="shared" si="53"/>
        <v>68.644067796610173</v>
      </c>
      <c r="F1215" s="38">
        <v>450</v>
      </c>
    </row>
    <row r="1216" spans="2:6" ht="11.25">
      <c r="B1216" s="44" t="s">
        <v>1294</v>
      </c>
      <c r="C1216" s="48" t="s">
        <v>3</v>
      </c>
      <c r="D1216" s="30"/>
      <c r="E1216" s="31">
        <f t="shared" si="53"/>
        <v>34.322033898305087</v>
      </c>
      <c r="F1216" s="38">
        <v>225</v>
      </c>
    </row>
    <row r="1217" spans="2:6" ht="11.25">
      <c r="C1217" s="48"/>
      <c r="D1217" s="30"/>
      <c r="E1217" s="31"/>
      <c r="F1217" s="38"/>
    </row>
    <row r="1218" spans="2:6" ht="11.25">
      <c r="B1218" s="32" t="s">
        <v>1295</v>
      </c>
      <c r="C1218" s="48"/>
      <c r="D1218" s="30"/>
      <c r="E1218" s="31"/>
      <c r="F1218" s="48"/>
    </row>
    <row r="1219" spans="2:6" ht="11.25">
      <c r="B1219" s="44" t="s">
        <v>1296</v>
      </c>
      <c r="C1219" s="48" t="s">
        <v>3</v>
      </c>
      <c r="D1219" s="30"/>
      <c r="E1219" s="31">
        <f t="shared" ref="E1219:E1235" si="54">+F1219*0.18/1.18</f>
        <v>44.087796610169491</v>
      </c>
      <c r="F1219" s="38">
        <v>289.02</v>
      </c>
    </row>
    <row r="1220" spans="2:6" ht="11.25">
      <c r="B1220" s="44" t="s">
        <v>1297</v>
      </c>
      <c r="C1220" s="48" t="s">
        <v>3</v>
      </c>
      <c r="D1220" s="30"/>
      <c r="E1220" s="31">
        <f t="shared" si="54"/>
        <v>47.027288135593224</v>
      </c>
      <c r="F1220" s="38">
        <v>308.29000000000002</v>
      </c>
    </row>
    <row r="1221" spans="2:6" ht="11.25">
      <c r="B1221" s="44" t="s">
        <v>1298</v>
      </c>
      <c r="C1221" s="48" t="s">
        <v>3</v>
      </c>
      <c r="D1221" s="30"/>
      <c r="E1221" s="31">
        <f t="shared" si="54"/>
        <v>60.089491525423739</v>
      </c>
      <c r="F1221" s="38">
        <v>393.92</v>
      </c>
    </row>
    <row r="1222" spans="2:6" ht="11.25">
      <c r="B1222" s="44" t="s">
        <v>1299</v>
      </c>
      <c r="C1222" s="48" t="s">
        <v>3</v>
      </c>
      <c r="D1222" s="30"/>
      <c r="E1222" s="31">
        <f t="shared" si="54"/>
        <v>46.998305084745773</v>
      </c>
      <c r="F1222" s="38">
        <v>308.10000000000002</v>
      </c>
    </row>
    <row r="1223" spans="2:6" ht="11.25">
      <c r="B1223" s="44" t="s">
        <v>1300</v>
      </c>
      <c r="C1223" s="48" t="s">
        <v>3</v>
      </c>
      <c r="D1223" s="30"/>
      <c r="E1223" s="31">
        <f t="shared" si="54"/>
        <v>47.027288135593224</v>
      </c>
      <c r="F1223" s="38">
        <v>308.29000000000002</v>
      </c>
    </row>
    <row r="1224" spans="2:6" ht="11.25">
      <c r="B1224" s="44" t="s">
        <v>1301</v>
      </c>
      <c r="C1224" s="48" t="s">
        <v>3</v>
      </c>
      <c r="D1224" s="30"/>
      <c r="E1224" s="31">
        <f t="shared" si="54"/>
        <v>64.006779661016964</v>
      </c>
      <c r="F1224" s="38">
        <v>419.6</v>
      </c>
    </row>
    <row r="1225" spans="2:6" ht="11.25">
      <c r="B1225" s="44" t="s">
        <v>1302</v>
      </c>
      <c r="C1225" s="48" t="s">
        <v>3</v>
      </c>
      <c r="D1225" s="30"/>
      <c r="E1225" s="31">
        <f t="shared" si="54"/>
        <v>64.006779661016964</v>
      </c>
      <c r="F1225" s="38">
        <v>419.6</v>
      </c>
    </row>
    <row r="1226" spans="2:6" ht="11.25">
      <c r="B1226" s="44" t="s">
        <v>1303</v>
      </c>
      <c r="C1226" s="48" t="s">
        <v>3</v>
      </c>
      <c r="D1226" s="30"/>
      <c r="E1226" s="31">
        <f t="shared" si="54"/>
        <v>154.46593220338985</v>
      </c>
      <c r="F1226" s="38">
        <v>1012.61</v>
      </c>
    </row>
    <row r="1227" spans="2:6" ht="11.25">
      <c r="B1227" s="44" t="s">
        <v>1304</v>
      </c>
      <c r="C1227" s="48" t="s">
        <v>3</v>
      </c>
      <c r="D1227" s="30"/>
      <c r="E1227" s="31">
        <f t="shared" si="54"/>
        <v>61.392203389830506</v>
      </c>
      <c r="F1227" s="38">
        <v>402.46</v>
      </c>
    </row>
    <row r="1228" spans="2:6" ht="11.25">
      <c r="B1228" s="44" t="s">
        <v>1305</v>
      </c>
      <c r="C1228" s="48" t="s">
        <v>3</v>
      </c>
      <c r="D1228" s="30"/>
      <c r="E1228" s="31">
        <f t="shared" si="54"/>
        <v>61.549322033898299</v>
      </c>
      <c r="F1228" s="38">
        <v>403.49</v>
      </c>
    </row>
    <row r="1229" spans="2:6" ht="11.25">
      <c r="B1229" s="44" t="s">
        <v>1306</v>
      </c>
      <c r="C1229" s="48" t="s">
        <v>3</v>
      </c>
      <c r="D1229" s="30"/>
      <c r="E1229" s="31">
        <f t="shared" si="54"/>
        <v>74.567288135593216</v>
      </c>
      <c r="F1229" s="38">
        <v>488.83</v>
      </c>
    </row>
    <row r="1230" spans="2:6" ht="11.25">
      <c r="B1230" s="44" t="s">
        <v>1307</v>
      </c>
      <c r="C1230" s="48" t="s">
        <v>3</v>
      </c>
      <c r="D1230" s="30"/>
      <c r="E1230" s="31">
        <f t="shared" si="54"/>
        <v>74.567288135593216</v>
      </c>
      <c r="F1230" s="38">
        <v>488.83</v>
      </c>
    </row>
    <row r="1231" spans="2:6" ht="11.25">
      <c r="B1231" s="44" t="s">
        <v>1308</v>
      </c>
      <c r="C1231" s="48" t="s">
        <v>3</v>
      </c>
      <c r="D1231" s="30"/>
      <c r="E1231" s="31">
        <f t="shared" si="54"/>
        <v>80.722372881355938</v>
      </c>
      <c r="F1231" s="38">
        <v>529.17999999999995</v>
      </c>
    </row>
    <row r="1232" spans="2:6" ht="11.25">
      <c r="B1232" s="44" t="s">
        <v>1309</v>
      </c>
      <c r="C1232" s="48" t="s">
        <v>3</v>
      </c>
      <c r="D1232" s="30"/>
      <c r="E1232" s="31">
        <f t="shared" si="54"/>
        <v>161.18084745762715</v>
      </c>
      <c r="F1232" s="38">
        <v>1056.6300000000001</v>
      </c>
    </row>
    <row r="1233" spans="2:6" ht="11.25">
      <c r="B1233" s="44" t="s">
        <v>1310</v>
      </c>
      <c r="C1233" s="48" t="s">
        <v>3</v>
      </c>
      <c r="D1233" s="30"/>
      <c r="E1233" s="31">
        <f t="shared" si="54"/>
        <v>318.55728813559324</v>
      </c>
      <c r="F1233" s="38">
        <v>2088.3200000000002</v>
      </c>
    </row>
    <row r="1234" spans="2:6" ht="11.25">
      <c r="B1234" s="44" t="s">
        <v>1311</v>
      </c>
      <c r="C1234" s="48" t="s">
        <v>3</v>
      </c>
      <c r="D1234" s="30"/>
      <c r="E1234" s="31">
        <f t="shared" si="54"/>
        <v>580.89813559322033</v>
      </c>
      <c r="F1234" s="38">
        <v>3808.11</v>
      </c>
    </row>
    <row r="1235" spans="2:6" ht="11.25">
      <c r="B1235" s="44" t="s">
        <v>1312</v>
      </c>
      <c r="C1235" s="48" t="s">
        <v>3</v>
      </c>
      <c r="D1235" s="30"/>
      <c r="E1235" s="31">
        <f t="shared" si="54"/>
        <v>174.66406779661017</v>
      </c>
      <c r="F1235" s="38">
        <v>1145.02</v>
      </c>
    </row>
    <row r="1236" spans="2:6" ht="23.25" customHeight="1">
      <c r="C1236" s="51"/>
      <c r="D1236" s="30"/>
      <c r="E1236" s="31"/>
    </row>
    <row r="1237" spans="2:6" ht="11.25">
      <c r="B1237" s="32" t="s">
        <v>1313</v>
      </c>
      <c r="C1237" s="52"/>
      <c r="D1237" s="30"/>
      <c r="E1237" s="31"/>
    </row>
    <row r="1238" spans="2:6" ht="11.25">
      <c r="B1238" s="44" t="s">
        <v>1314</v>
      </c>
      <c r="C1238" s="36" t="s">
        <v>1315</v>
      </c>
      <c r="D1238" s="30"/>
      <c r="E1238" s="31">
        <f t="shared" ref="E1238:E1250" si="55">+F1238*0.18/1.18</f>
        <v>111.89593220338982</v>
      </c>
      <c r="F1238" s="38">
        <v>733.54</v>
      </c>
    </row>
    <row r="1239" spans="2:6" ht="11.25">
      <c r="B1239" s="44" t="s">
        <v>1316</v>
      </c>
      <c r="C1239" s="36" t="s">
        <v>9</v>
      </c>
      <c r="D1239" s="30"/>
      <c r="E1239" s="31">
        <f t="shared" si="55"/>
        <v>2889.1708474576271</v>
      </c>
      <c r="F1239" s="38">
        <v>18940.12</v>
      </c>
    </row>
    <row r="1240" spans="2:6" ht="11.25">
      <c r="B1240" s="44" t="s">
        <v>1317</v>
      </c>
      <c r="C1240" s="36" t="s">
        <v>9</v>
      </c>
      <c r="D1240" s="30"/>
      <c r="E1240" s="31">
        <f t="shared" si="55"/>
        <v>4381.8284745762712</v>
      </c>
      <c r="F1240" s="38">
        <v>28725.32</v>
      </c>
    </row>
    <row r="1241" spans="2:6" ht="11.25">
      <c r="B1241" s="44" t="s">
        <v>1314</v>
      </c>
      <c r="C1241" s="36" t="s">
        <v>1318</v>
      </c>
      <c r="D1241" s="30"/>
      <c r="E1241" s="31">
        <f t="shared" si="55"/>
        <v>7.4593220338983048</v>
      </c>
      <c r="F1241" s="38">
        <v>48.9</v>
      </c>
    </row>
    <row r="1242" spans="2:6" ht="11.25">
      <c r="B1242" s="44" t="s">
        <v>1316</v>
      </c>
      <c r="C1242" s="36" t="s">
        <v>1318</v>
      </c>
      <c r="D1242" s="30"/>
      <c r="E1242" s="31">
        <f t="shared" si="55"/>
        <v>5.7783050847457638</v>
      </c>
      <c r="F1242" s="38">
        <v>37.880000000000003</v>
      </c>
    </row>
    <row r="1243" spans="2:6" ht="11.25">
      <c r="B1243" s="44" t="s">
        <v>1317</v>
      </c>
      <c r="C1243" s="36" t="s">
        <v>1318</v>
      </c>
      <c r="D1243" s="30"/>
      <c r="E1243" s="31">
        <f t="shared" si="55"/>
        <v>2.9211864406779657</v>
      </c>
      <c r="F1243" s="38">
        <v>19.149999999999999</v>
      </c>
    </row>
    <row r="1244" spans="2:6" ht="22.5">
      <c r="B1244" s="44" t="s">
        <v>1319</v>
      </c>
      <c r="C1244" s="36" t="s">
        <v>9</v>
      </c>
      <c r="D1244" s="30"/>
      <c r="E1244" s="31">
        <f t="shared" si="55"/>
        <v>235.79999999999998</v>
      </c>
      <c r="F1244" s="38">
        <v>1545.8</v>
      </c>
    </row>
    <row r="1245" spans="2:6" ht="11.25">
      <c r="B1245" s="44" t="s">
        <v>1320</v>
      </c>
      <c r="C1245" s="36" t="s">
        <v>3</v>
      </c>
      <c r="D1245" s="30"/>
      <c r="E1245" s="31">
        <f t="shared" si="55"/>
        <v>414</v>
      </c>
      <c r="F1245" s="38">
        <v>2714</v>
      </c>
    </row>
    <row r="1246" spans="2:6" ht="11.25">
      <c r="B1246" s="44" t="s">
        <v>1321</v>
      </c>
      <c r="C1246" s="36" t="s">
        <v>3</v>
      </c>
      <c r="D1246" s="30"/>
      <c r="E1246" s="31">
        <f t="shared" si="55"/>
        <v>997.38000000000011</v>
      </c>
      <c r="F1246" s="38">
        <v>6538.38</v>
      </c>
    </row>
    <row r="1247" spans="2:6" ht="11.25">
      <c r="B1247" s="44" t="s">
        <v>1322</v>
      </c>
      <c r="C1247" s="36" t="s">
        <v>3</v>
      </c>
      <c r="D1247" s="30"/>
      <c r="E1247" s="31">
        <f t="shared" si="55"/>
        <v>1890</v>
      </c>
      <c r="F1247" s="38">
        <v>12390</v>
      </c>
    </row>
    <row r="1248" spans="2:6" ht="11.25">
      <c r="B1248" s="44" t="s">
        <v>1323</v>
      </c>
      <c r="C1248" s="36" t="s">
        <v>3</v>
      </c>
      <c r="D1248" s="30"/>
      <c r="E1248" s="31">
        <f t="shared" si="55"/>
        <v>1.1883050847457626</v>
      </c>
      <c r="F1248" s="38">
        <v>7.79</v>
      </c>
    </row>
    <row r="1249" spans="2:6" ht="11.25">
      <c r="B1249" s="44" t="s">
        <v>1324</v>
      </c>
      <c r="C1249" s="36" t="s">
        <v>3</v>
      </c>
      <c r="D1249" s="30"/>
      <c r="E1249" s="31">
        <f t="shared" si="55"/>
        <v>981</v>
      </c>
      <c r="F1249" s="38">
        <v>6431</v>
      </c>
    </row>
    <row r="1250" spans="2:6" ht="11.25">
      <c r="B1250" s="44" t="s">
        <v>1325</v>
      </c>
      <c r="C1250" s="36" t="s">
        <v>9</v>
      </c>
      <c r="D1250" s="30"/>
      <c r="E1250" s="31">
        <f t="shared" si="55"/>
        <v>1.6184745762711863</v>
      </c>
      <c r="F1250" s="38">
        <v>10.61</v>
      </c>
    </row>
    <row r="1251" spans="2:6" ht="11.25">
      <c r="D1251" s="30"/>
      <c r="E1251" s="31"/>
    </row>
    <row r="1252" spans="2:6" ht="11.25">
      <c r="B1252" s="32" t="s">
        <v>1326</v>
      </c>
      <c r="C1252" s="36"/>
      <c r="D1252" s="30"/>
      <c r="E1252" s="31"/>
    </row>
    <row r="1253" spans="2:6" ht="11.25">
      <c r="B1253" s="44" t="s">
        <v>1327</v>
      </c>
      <c r="C1253" s="36" t="s">
        <v>9</v>
      </c>
      <c r="D1253" s="30"/>
      <c r="E1253" s="31">
        <f t="shared" ref="E1253:E1258" si="56">+F1253*0.18/1.18</f>
        <v>94.802033898305083</v>
      </c>
      <c r="F1253" s="38">
        <v>621.48</v>
      </c>
    </row>
    <row r="1254" spans="2:6" ht="11.25">
      <c r="B1254" s="44" t="s">
        <v>1328</v>
      </c>
      <c r="C1254" s="36" t="s">
        <v>9</v>
      </c>
      <c r="D1254" s="30"/>
      <c r="E1254" s="31">
        <f t="shared" si="56"/>
        <v>108.99610169491525</v>
      </c>
      <c r="F1254" s="38">
        <v>714.53</v>
      </c>
    </row>
    <row r="1255" spans="2:6" ht="11.25">
      <c r="B1255" s="44" t="s">
        <v>1329</v>
      </c>
      <c r="C1255" s="36" t="s">
        <v>9</v>
      </c>
      <c r="D1255" s="30"/>
      <c r="E1255" s="31">
        <f t="shared" si="56"/>
        <v>123.19016949152542</v>
      </c>
      <c r="F1255" s="38">
        <v>807.58</v>
      </c>
    </row>
    <row r="1256" spans="2:6" ht="11.25">
      <c r="B1256" s="44" t="s">
        <v>1330</v>
      </c>
      <c r="C1256" s="36" t="s">
        <v>9</v>
      </c>
      <c r="D1256" s="30"/>
      <c r="E1256" s="31">
        <f t="shared" si="56"/>
        <v>137.38423728813558</v>
      </c>
      <c r="F1256" s="38">
        <v>900.63</v>
      </c>
    </row>
    <row r="1257" spans="2:6" ht="11.25">
      <c r="B1257" s="44" t="s">
        <v>1331</v>
      </c>
      <c r="C1257" s="36" t="s">
        <v>9</v>
      </c>
      <c r="D1257" s="30"/>
      <c r="E1257" s="31">
        <f t="shared" si="56"/>
        <v>158.62423728813559</v>
      </c>
      <c r="F1257" s="38">
        <v>1039.8699999999999</v>
      </c>
    </row>
    <row r="1258" spans="2:6" ht="22.5">
      <c r="B1258" s="44" t="s">
        <v>1332</v>
      </c>
      <c r="C1258" s="36" t="s">
        <v>9</v>
      </c>
      <c r="D1258" s="30"/>
      <c r="E1258" s="31">
        <f t="shared" si="56"/>
        <v>189.15254237288136</v>
      </c>
      <c r="F1258" s="38">
        <v>1240</v>
      </c>
    </row>
    <row r="1259" spans="2:6" ht="11.25">
      <c r="D1259" s="30"/>
      <c r="E1259" s="31"/>
    </row>
    <row r="1260" spans="2:6" ht="11.25">
      <c r="B1260" s="50" t="s">
        <v>1333</v>
      </c>
      <c r="C1260" s="36"/>
      <c r="D1260" s="30"/>
      <c r="E1260" s="31"/>
    </row>
    <row r="1261" spans="2:6" ht="11.25">
      <c r="B1261" s="44" t="s">
        <v>1334</v>
      </c>
      <c r="C1261" s="36" t="s">
        <v>28</v>
      </c>
      <c r="D1261" s="30"/>
      <c r="E1261" s="31">
        <f t="shared" ref="E1261:E1273" si="57">+F1261*0.18/1.18</f>
        <v>22.118644067796609</v>
      </c>
      <c r="F1261" s="38">
        <v>145</v>
      </c>
    </row>
    <row r="1262" spans="2:6" ht="11.25">
      <c r="B1262" s="44" t="s">
        <v>1335</v>
      </c>
      <c r="C1262" s="36" t="s">
        <v>28</v>
      </c>
      <c r="D1262" s="30"/>
      <c r="E1262" s="31">
        <f t="shared" si="57"/>
        <v>19.067796610169491</v>
      </c>
      <c r="F1262" s="38">
        <v>125</v>
      </c>
    </row>
    <row r="1263" spans="2:6" ht="11.25">
      <c r="B1263" s="44" t="s">
        <v>1336</v>
      </c>
      <c r="C1263" s="36" t="s">
        <v>28</v>
      </c>
      <c r="D1263" s="30"/>
      <c r="E1263" s="31">
        <f t="shared" si="57"/>
        <v>27.457627118644069</v>
      </c>
      <c r="F1263" s="38">
        <v>180</v>
      </c>
    </row>
    <row r="1264" spans="2:6" ht="11.25">
      <c r="B1264" s="44" t="s">
        <v>1337</v>
      </c>
      <c r="C1264" s="36" t="s">
        <v>28</v>
      </c>
      <c r="D1264" s="30"/>
      <c r="E1264" s="31">
        <f t="shared" si="57"/>
        <v>27.457627118644069</v>
      </c>
      <c r="F1264" s="38">
        <v>180</v>
      </c>
    </row>
    <row r="1265" spans="2:6" ht="11.25">
      <c r="B1265" s="44" t="s">
        <v>1338</v>
      </c>
      <c r="C1265" s="36" t="s">
        <v>3</v>
      </c>
      <c r="D1265" s="30"/>
      <c r="E1265" s="31">
        <f t="shared" si="57"/>
        <v>103.83406779661019</v>
      </c>
      <c r="F1265" s="38">
        <v>680.69</v>
      </c>
    </row>
    <row r="1266" spans="2:6" ht="11.25">
      <c r="B1266" s="44" t="s">
        <v>1339</v>
      </c>
      <c r="C1266" s="36" t="s">
        <v>3</v>
      </c>
      <c r="D1266" s="30"/>
      <c r="E1266" s="31">
        <f t="shared" si="57"/>
        <v>108.21203389830508</v>
      </c>
      <c r="F1266" s="38">
        <v>709.39</v>
      </c>
    </row>
    <row r="1267" spans="2:6" ht="11.25">
      <c r="B1267" s="44" t="s">
        <v>1340</v>
      </c>
      <c r="C1267" s="36" t="s">
        <v>3</v>
      </c>
      <c r="D1267" s="30"/>
      <c r="E1267" s="31">
        <f t="shared" si="57"/>
        <v>5.4579661016949155</v>
      </c>
      <c r="F1267" s="38">
        <v>35.78</v>
      </c>
    </row>
    <row r="1268" spans="2:6" ht="11.25">
      <c r="B1268" s="44" t="s">
        <v>1341</v>
      </c>
      <c r="C1268" s="36" t="s">
        <v>3</v>
      </c>
      <c r="D1268" s="30"/>
      <c r="E1268" s="31">
        <f t="shared" si="57"/>
        <v>2.5184745762711866</v>
      </c>
      <c r="F1268" s="38">
        <v>16.510000000000002</v>
      </c>
    </row>
    <row r="1269" spans="2:6" ht="11.25">
      <c r="B1269" s="44" t="s">
        <v>1342</v>
      </c>
      <c r="C1269" s="36" t="s">
        <v>3</v>
      </c>
      <c r="D1269" s="30"/>
      <c r="E1269" s="31">
        <f t="shared" si="57"/>
        <v>7.770508474576272</v>
      </c>
      <c r="F1269" s="38">
        <v>50.94</v>
      </c>
    </row>
    <row r="1270" spans="2:6" ht="11.25">
      <c r="B1270" s="44" t="s">
        <v>1343</v>
      </c>
      <c r="C1270" s="36" t="s">
        <v>3</v>
      </c>
      <c r="D1270" s="30"/>
      <c r="E1270" s="31">
        <f t="shared" si="57"/>
        <v>120.12864406779661</v>
      </c>
      <c r="F1270" s="38">
        <v>787.51</v>
      </c>
    </row>
    <row r="1271" spans="2:6" ht="11.25">
      <c r="B1271" s="44" t="s">
        <v>1344</v>
      </c>
      <c r="C1271" s="36" t="s">
        <v>3</v>
      </c>
      <c r="D1271" s="30"/>
      <c r="E1271" s="31">
        <f t="shared" si="57"/>
        <v>226.79999999999998</v>
      </c>
      <c r="F1271" s="38">
        <v>1486.8</v>
      </c>
    </row>
    <row r="1272" spans="2:6" ht="11.25">
      <c r="B1272" s="44" t="s">
        <v>1345</v>
      </c>
      <c r="C1272" s="36" t="s">
        <v>3</v>
      </c>
      <c r="D1272" s="30"/>
      <c r="E1272" s="31">
        <f t="shared" si="57"/>
        <v>26.397457627118648</v>
      </c>
      <c r="F1272" s="38">
        <v>173.05</v>
      </c>
    </row>
    <row r="1273" spans="2:6" ht="11.25">
      <c r="B1273" s="44" t="s">
        <v>1346</v>
      </c>
      <c r="C1273" s="36" t="s">
        <v>3</v>
      </c>
      <c r="D1273" s="30"/>
      <c r="E1273" s="31">
        <f t="shared" si="57"/>
        <v>15.516610169491527</v>
      </c>
      <c r="F1273" s="38">
        <v>101.72</v>
      </c>
    </row>
    <row r="1274" spans="2:6" ht="11.25">
      <c r="D1274" s="30"/>
      <c r="E1274" s="31"/>
    </row>
    <row r="1275" spans="2:6" ht="11.25">
      <c r="B1275" s="32" t="s">
        <v>1347</v>
      </c>
      <c r="C1275" s="36"/>
      <c r="D1275" s="30"/>
      <c r="E1275" s="31"/>
    </row>
    <row r="1276" spans="2:6" ht="11.25">
      <c r="B1276" s="35" t="s">
        <v>1348</v>
      </c>
      <c r="C1276" s="36" t="s">
        <v>166</v>
      </c>
      <c r="D1276" s="30"/>
      <c r="E1276" s="31">
        <f>+F1276*0.18/1.18</f>
        <v>5007.6900000000005</v>
      </c>
      <c r="F1276" s="38">
        <v>32828.19</v>
      </c>
    </row>
    <row r="1277" spans="2:6" ht="11.25">
      <c r="D1277" s="30"/>
      <c r="E1277" s="31"/>
    </row>
    <row r="1278" spans="2:6" ht="11.25">
      <c r="B1278" s="32" t="s">
        <v>1349</v>
      </c>
      <c r="C1278" s="36"/>
      <c r="D1278" s="30"/>
      <c r="E1278" s="31"/>
    </row>
    <row r="1279" spans="2:6" ht="11.25">
      <c r="B1279" s="44" t="s">
        <v>1350</v>
      </c>
      <c r="C1279" s="36" t="s">
        <v>9</v>
      </c>
      <c r="D1279" s="30"/>
      <c r="E1279" s="31">
        <f t="shared" ref="E1279:E1303" si="58">+F1279*0.18/1.18</f>
        <v>199.83050847457628</v>
      </c>
      <c r="F1279" s="38">
        <v>1310</v>
      </c>
    </row>
    <row r="1280" spans="2:6" ht="11.25">
      <c r="B1280" s="44" t="s">
        <v>1351</v>
      </c>
      <c r="C1280" s="36" t="s">
        <v>9</v>
      </c>
      <c r="D1280" s="30"/>
      <c r="E1280" s="31">
        <f t="shared" si="58"/>
        <v>57.966101694915253</v>
      </c>
      <c r="F1280" s="38">
        <v>380</v>
      </c>
    </row>
    <row r="1281" spans="2:6" ht="11.25">
      <c r="B1281" s="44" t="s">
        <v>1352</v>
      </c>
      <c r="C1281" s="36" t="s">
        <v>9</v>
      </c>
      <c r="D1281" s="30"/>
      <c r="E1281" s="31">
        <f t="shared" si="58"/>
        <v>106.77966101694916</v>
      </c>
      <c r="F1281" s="38">
        <v>700</v>
      </c>
    </row>
    <row r="1282" spans="2:6" ht="11.25">
      <c r="B1282" s="44" t="s">
        <v>1353</v>
      </c>
      <c r="C1282" s="36" t="s">
        <v>9</v>
      </c>
      <c r="D1282" s="30"/>
      <c r="E1282" s="31">
        <f t="shared" si="58"/>
        <v>236.4406779661017</v>
      </c>
      <c r="F1282" s="38">
        <v>1550</v>
      </c>
    </row>
    <row r="1283" spans="2:6" ht="11.25">
      <c r="B1283" s="44" t="s">
        <v>1354</v>
      </c>
      <c r="C1283" s="36" t="s">
        <v>20</v>
      </c>
      <c r="D1283" s="30"/>
      <c r="E1283" s="31">
        <f t="shared" si="58"/>
        <v>167.79661016949154</v>
      </c>
      <c r="F1283" s="38">
        <v>1100</v>
      </c>
    </row>
    <row r="1284" spans="2:6" ht="11.25">
      <c r="B1284" s="44" t="s">
        <v>1355</v>
      </c>
      <c r="C1284" s="36" t="s">
        <v>9</v>
      </c>
      <c r="D1284" s="37">
        <f>+F1284-E1284</f>
        <v>355.93220338983053</v>
      </c>
      <c r="E1284" s="31">
        <f t="shared" si="58"/>
        <v>64.067796610169495</v>
      </c>
      <c r="F1284" s="38">
        <v>420</v>
      </c>
    </row>
    <row r="1285" spans="2:6" ht="11.25">
      <c r="B1285" s="44" t="s">
        <v>1356</v>
      </c>
      <c r="C1285" s="36" t="s">
        <v>9</v>
      </c>
      <c r="D1285" s="30"/>
      <c r="E1285" s="31">
        <f t="shared" si="58"/>
        <v>91.525423728813564</v>
      </c>
      <c r="F1285" s="38">
        <v>600</v>
      </c>
    </row>
    <row r="1286" spans="2:6" ht="11.25">
      <c r="B1286" s="44" t="s">
        <v>1357</v>
      </c>
      <c r="C1286" s="36" t="s">
        <v>9</v>
      </c>
      <c r="D1286" s="30"/>
      <c r="E1286" s="31">
        <f t="shared" si="58"/>
        <v>89.054237288135582</v>
      </c>
      <c r="F1286" s="38">
        <v>583.79999999999995</v>
      </c>
    </row>
    <row r="1287" spans="2:6" ht="11.25">
      <c r="B1287" s="44" t="s">
        <v>1900</v>
      </c>
      <c r="C1287" s="36" t="s">
        <v>9</v>
      </c>
      <c r="D1287" s="37">
        <f>+F1287-E1287</f>
        <v>677.96610169491521</v>
      </c>
      <c r="E1287" s="31">
        <f t="shared" si="58"/>
        <v>122.03389830508475</v>
      </c>
      <c r="F1287" s="38">
        <v>800</v>
      </c>
    </row>
    <row r="1288" spans="2:6" ht="11.25">
      <c r="B1288" s="44" t="s">
        <v>1358</v>
      </c>
      <c r="C1288" s="36" t="s">
        <v>9</v>
      </c>
      <c r="D1288" s="30"/>
      <c r="E1288" s="31">
        <f t="shared" si="58"/>
        <v>186.64474576271186</v>
      </c>
      <c r="F1288" s="38">
        <v>1223.56</v>
      </c>
    </row>
    <row r="1289" spans="2:6" ht="11.25">
      <c r="B1289" s="44" t="s">
        <v>1359</v>
      </c>
      <c r="C1289" s="36" t="s">
        <v>9</v>
      </c>
      <c r="D1289" s="30"/>
      <c r="E1289" s="31">
        <f t="shared" si="58"/>
        <v>320.3389830508475</v>
      </c>
      <c r="F1289" s="38">
        <v>2100</v>
      </c>
    </row>
    <row r="1290" spans="2:6" ht="11.25">
      <c r="B1290" s="44" t="s">
        <v>1360</v>
      </c>
      <c r="C1290" s="36" t="s">
        <v>9</v>
      </c>
      <c r="D1290" s="30"/>
      <c r="E1290" s="31">
        <f t="shared" si="58"/>
        <v>876.35593220338978</v>
      </c>
      <c r="F1290" s="38">
        <v>5745</v>
      </c>
    </row>
    <row r="1291" spans="2:6" ht="11.25">
      <c r="B1291" s="44" t="s">
        <v>1361</v>
      </c>
      <c r="C1291" s="36" t="s">
        <v>9</v>
      </c>
      <c r="D1291" s="30"/>
      <c r="E1291" s="31">
        <f t="shared" si="58"/>
        <v>465.25423728813564</v>
      </c>
      <c r="F1291" s="38">
        <v>3050</v>
      </c>
    </row>
    <row r="1292" spans="2:6" ht="11.25">
      <c r="B1292" s="44" t="s">
        <v>1362</v>
      </c>
      <c r="C1292" s="36" t="s">
        <v>3</v>
      </c>
      <c r="D1292" s="30"/>
      <c r="E1292" s="31">
        <f t="shared" si="58"/>
        <v>29.745762711864408</v>
      </c>
      <c r="F1292" s="38">
        <v>195</v>
      </c>
    </row>
    <row r="1293" spans="2:6" ht="11.25">
      <c r="B1293" s="44" t="s">
        <v>1363</v>
      </c>
      <c r="C1293" s="36" t="s">
        <v>3</v>
      </c>
      <c r="D1293" s="30"/>
      <c r="E1293" s="31">
        <f t="shared" si="58"/>
        <v>29.745762711864408</v>
      </c>
      <c r="F1293" s="38">
        <v>195</v>
      </c>
    </row>
    <row r="1294" spans="2:6" ht="11.25">
      <c r="B1294" s="44" t="s">
        <v>1364</v>
      </c>
      <c r="C1294" s="36" t="s">
        <v>3</v>
      </c>
      <c r="D1294" s="30"/>
      <c r="E1294" s="31">
        <f t="shared" si="58"/>
        <v>29.745762711864408</v>
      </c>
      <c r="F1294" s="38">
        <v>195</v>
      </c>
    </row>
    <row r="1295" spans="2:6" ht="11.25">
      <c r="B1295" s="44" t="s">
        <v>1365</v>
      </c>
      <c r="C1295" s="36" t="s">
        <v>3</v>
      </c>
      <c r="D1295" s="30"/>
      <c r="E1295" s="31">
        <f t="shared" si="58"/>
        <v>167.79661016949154</v>
      </c>
      <c r="F1295" s="38">
        <v>1100</v>
      </c>
    </row>
    <row r="1296" spans="2:6" ht="11.25">
      <c r="B1296" s="44" t="s">
        <v>1366</v>
      </c>
      <c r="C1296" s="36" t="s">
        <v>3</v>
      </c>
      <c r="D1296" s="30"/>
      <c r="E1296" s="31">
        <f t="shared" si="58"/>
        <v>1524.6610169491526</v>
      </c>
      <c r="F1296" s="38">
        <v>9995</v>
      </c>
    </row>
    <row r="1297" spans="2:6" ht="11.25">
      <c r="B1297" s="44" t="s">
        <v>1367</v>
      </c>
      <c r="C1297" s="36" t="s">
        <v>3</v>
      </c>
      <c r="D1297" s="30"/>
      <c r="E1297" s="31">
        <f t="shared" si="58"/>
        <v>533.89830508474574</v>
      </c>
      <c r="F1297" s="38">
        <v>3500</v>
      </c>
    </row>
    <row r="1298" spans="2:6" ht="11.25">
      <c r="B1298" s="44" t="s">
        <v>1368</v>
      </c>
      <c r="C1298" s="36" t="s">
        <v>3</v>
      </c>
      <c r="D1298" s="37">
        <f t="shared" ref="D1298:D1302" si="59">+F1298-E1298</f>
        <v>3559.3220338983051</v>
      </c>
      <c r="E1298" s="31">
        <f t="shared" si="58"/>
        <v>640.67796610169501</v>
      </c>
      <c r="F1298" s="38">
        <v>4200</v>
      </c>
    </row>
    <row r="1299" spans="2:6" ht="11.25">
      <c r="B1299" s="44" t="s">
        <v>1369</v>
      </c>
      <c r="C1299" s="36" t="s">
        <v>178</v>
      </c>
      <c r="D1299" s="37">
        <f t="shared" si="59"/>
        <v>63.559322033898304</v>
      </c>
      <c r="E1299" s="31">
        <f t="shared" si="58"/>
        <v>11.440677966101696</v>
      </c>
      <c r="F1299" s="38">
        <v>75</v>
      </c>
    </row>
    <row r="1300" spans="2:6" ht="11.25">
      <c r="B1300" s="44" t="s">
        <v>1370</v>
      </c>
      <c r="C1300" s="36" t="s">
        <v>9</v>
      </c>
      <c r="D1300" s="37">
        <f t="shared" si="59"/>
        <v>29.661016949152543</v>
      </c>
      <c r="E1300" s="31">
        <f t="shared" si="58"/>
        <v>5.3389830508474576</v>
      </c>
      <c r="F1300" s="38">
        <v>35</v>
      </c>
    </row>
    <row r="1301" spans="2:6" ht="11.25">
      <c r="B1301" s="44" t="s">
        <v>1371</v>
      </c>
      <c r="C1301" s="36" t="s">
        <v>9</v>
      </c>
      <c r="D1301" s="37">
        <f t="shared" si="59"/>
        <v>296.61016949152543</v>
      </c>
      <c r="E1301" s="31">
        <f t="shared" si="58"/>
        <v>53.389830508474581</v>
      </c>
      <c r="F1301" s="38">
        <v>350</v>
      </c>
    </row>
    <row r="1302" spans="2:6" ht="11.25">
      <c r="B1302" s="44" t="s">
        <v>1372</v>
      </c>
      <c r="C1302" s="36" t="s">
        <v>9</v>
      </c>
      <c r="D1302" s="37">
        <f t="shared" si="59"/>
        <v>80.508474576271183</v>
      </c>
      <c r="E1302" s="31">
        <f t="shared" si="58"/>
        <v>14.491525423728813</v>
      </c>
      <c r="F1302" s="38">
        <v>95</v>
      </c>
    </row>
    <row r="1303" spans="2:6" ht="11.25">
      <c r="B1303" s="44" t="s">
        <v>1373</v>
      </c>
      <c r="C1303" s="36" t="s">
        <v>129</v>
      </c>
      <c r="D1303" s="37">
        <f>+F1303-E1303</f>
        <v>1016.9491525423729</v>
      </c>
      <c r="E1303" s="31">
        <f t="shared" si="58"/>
        <v>183.05084745762713</v>
      </c>
      <c r="F1303" s="38">
        <v>1200</v>
      </c>
    </row>
    <row r="1304" spans="2:6" ht="11.25">
      <c r="D1304" s="30"/>
      <c r="E1304" s="31"/>
    </row>
    <row r="1305" spans="2:6" ht="11.25">
      <c r="B1305" s="32" t="s">
        <v>1374</v>
      </c>
      <c r="C1305" s="36"/>
      <c r="D1305" s="30"/>
      <c r="E1305" s="31"/>
    </row>
    <row r="1306" spans="2:6" ht="11.25">
      <c r="B1306" s="44" t="s">
        <v>1375</v>
      </c>
      <c r="C1306" s="36" t="s">
        <v>14</v>
      </c>
      <c r="D1306" s="30"/>
      <c r="E1306" s="31">
        <f t="shared" ref="E1306:E1313" si="60">+F1306*0.18/1.18</f>
        <v>113.75999999999999</v>
      </c>
      <c r="F1306" s="38">
        <v>745.76</v>
      </c>
    </row>
    <row r="1307" spans="2:6" ht="11.25">
      <c r="B1307" s="44" t="s">
        <v>1376</v>
      </c>
      <c r="C1307" s="36" t="s">
        <v>14</v>
      </c>
      <c r="D1307" s="30"/>
      <c r="E1307" s="31">
        <f t="shared" si="60"/>
        <v>58.14</v>
      </c>
      <c r="F1307" s="38">
        <v>381.14</v>
      </c>
    </row>
    <row r="1308" spans="2:6" ht="11.25">
      <c r="B1308" s="44" t="s">
        <v>1377</v>
      </c>
      <c r="C1308" s="36" t="s">
        <v>14</v>
      </c>
      <c r="D1308" s="30"/>
      <c r="E1308" s="31">
        <f t="shared" si="60"/>
        <v>134.82000000000002</v>
      </c>
      <c r="F1308" s="38">
        <v>883.82</v>
      </c>
    </row>
    <row r="1309" spans="2:6" ht="11.25">
      <c r="B1309" s="44" t="s">
        <v>1378</v>
      </c>
      <c r="C1309" s="36" t="s">
        <v>14</v>
      </c>
      <c r="D1309" s="30"/>
      <c r="E1309" s="31">
        <f t="shared" si="60"/>
        <v>63.000000000000007</v>
      </c>
      <c r="F1309" s="38">
        <v>413</v>
      </c>
    </row>
    <row r="1310" spans="2:6" ht="11.25">
      <c r="B1310" s="44" t="s">
        <v>1379</v>
      </c>
      <c r="C1310" s="36" t="s">
        <v>14</v>
      </c>
      <c r="D1310" s="30"/>
      <c r="E1310" s="31">
        <f t="shared" si="60"/>
        <v>104.53728813559322</v>
      </c>
      <c r="F1310" s="38">
        <v>685.3</v>
      </c>
    </row>
    <row r="1311" spans="2:6" ht="14.25" customHeight="1">
      <c r="B1311" s="44" t="s">
        <v>1380</v>
      </c>
      <c r="C1311" s="36" t="s">
        <v>14</v>
      </c>
      <c r="D1311" s="30"/>
      <c r="E1311" s="31">
        <f t="shared" si="60"/>
        <v>62.580508474576277</v>
      </c>
      <c r="F1311" s="38">
        <v>410.25</v>
      </c>
    </row>
    <row r="1312" spans="2:6" ht="11.25">
      <c r="B1312" s="44" t="s">
        <v>1381</v>
      </c>
      <c r="C1312" s="36" t="s">
        <v>14</v>
      </c>
      <c r="D1312" s="30"/>
      <c r="E1312" s="31">
        <f t="shared" si="60"/>
        <v>109.83050847457628</v>
      </c>
      <c r="F1312" s="38">
        <v>720</v>
      </c>
    </row>
    <row r="1313" spans="2:6" ht="11.25">
      <c r="B1313" s="44" t="s">
        <v>1382</v>
      </c>
      <c r="C1313" s="36" t="s">
        <v>14</v>
      </c>
      <c r="D1313" s="30"/>
      <c r="E1313" s="31">
        <f t="shared" si="60"/>
        <v>59.369491525423733</v>
      </c>
      <c r="F1313" s="38">
        <v>389.2</v>
      </c>
    </row>
    <row r="1314" spans="2:6" ht="11.25">
      <c r="C1314" s="36"/>
      <c r="D1314" s="30"/>
      <c r="E1314" s="31"/>
      <c r="F1314" s="41"/>
    </row>
    <row r="1315" spans="2:6" ht="11.25">
      <c r="B1315" s="32" t="s">
        <v>1383</v>
      </c>
      <c r="C1315" s="36"/>
      <c r="D1315" s="30"/>
      <c r="E1315" s="31"/>
    </row>
    <row r="1316" spans="2:6" ht="11.25">
      <c r="B1316" s="44" t="s">
        <v>1384</v>
      </c>
      <c r="C1316" s="36" t="s">
        <v>3</v>
      </c>
      <c r="D1316" s="30"/>
      <c r="E1316" s="31">
        <f t="shared" ref="E1316:E1341" si="61">+F1316*0.18/1.18</f>
        <v>732.20338983050851</v>
      </c>
      <c r="F1316" s="38">
        <v>4800</v>
      </c>
    </row>
    <row r="1317" spans="2:6" ht="11.25">
      <c r="B1317" s="44" t="s">
        <v>1385</v>
      </c>
      <c r="C1317" s="36" t="s">
        <v>3</v>
      </c>
      <c r="D1317" s="30"/>
      <c r="E1317" s="31">
        <f t="shared" si="61"/>
        <v>732.20338983050851</v>
      </c>
      <c r="F1317" s="38">
        <v>4800</v>
      </c>
    </row>
    <row r="1318" spans="2:6" ht="11.25">
      <c r="B1318" s="44" t="s">
        <v>1386</v>
      </c>
      <c r="C1318" s="36" t="s">
        <v>3</v>
      </c>
      <c r="D1318" s="30"/>
      <c r="E1318" s="31">
        <f t="shared" si="61"/>
        <v>1044.1525423728813</v>
      </c>
      <c r="F1318" s="38">
        <v>6845</v>
      </c>
    </row>
    <row r="1319" spans="2:6" ht="11.25">
      <c r="B1319" s="44" t="s">
        <v>1387</v>
      </c>
      <c r="C1319" s="36" t="s">
        <v>3</v>
      </c>
      <c r="D1319" s="30"/>
      <c r="E1319" s="31">
        <f t="shared" si="61"/>
        <v>861.86440677966107</v>
      </c>
      <c r="F1319" s="38">
        <v>5650</v>
      </c>
    </row>
    <row r="1320" spans="2:6" ht="11.25">
      <c r="B1320" s="44" t="s">
        <v>1388</v>
      </c>
      <c r="C1320" s="36" t="s">
        <v>3</v>
      </c>
      <c r="D1320" s="30"/>
      <c r="E1320" s="31">
        <f t="shared" si="61"/>
        <v>2120.3389830508477</v>
      </c>
      <c r="F1320" s="38">
        <v>13900</v>
      </c>
    </row>
    <row r="1321" spans="2:6" ht="11.25">
      <c r="B1321" s="44" t="s">
        <v>1389</v>
      </c>
      <c r="C1321" s="36" t="s">
        <v>3</v>
      </c>
      <c r="D1321" s="30"/>
      <c r="E1321" s="31">
        <f t="shared" si="61"/>
        <v>2250</v>
      </c>
      <c r="F1321" s="38">
        <v>14750</v>
      </c>
    </row>
    <row r="1322" spans="2:6" ht="11.25">
      <c r="B1322" s="44" t="s">
        <v>1390</v>
      </c>
      <c r="C1322" s="36" t="s">
        <v>3</v>
      </c>
      <c r="D1322" s="30"/>
      <c r="E1322" s="31">
        <f t="shared" si="61"/>
        <v>2486.4406779661017</v>
      </c>
      <c r="F1322" s="38">
        <v>16300</v>
      </c>
    </row>
    <row r="1323" spans="2:6" ht="11.25">
      <c r="B1323" s="44" t="s">
        <v>1391</v>
      </c>
      <c r="C1323" s="36" t="s">
        <v>3</v>
      </c>
      <c r="D1323" s="30"/>
      <c r="E1323" s="31">
        <f t="shared" si="61"/>
        <v>2593.2203389830511</v>
      </c>
      <c r="F1323" s="38">
        <v>17000</v>
      </c>
    </row>
    <row r="1324" spans="2:6" ht="11.25">
      <c r="B1324" s="44" t="s">
        <v>1392</v>
      </c>
      <c r="C1324" s="36" t="s">
        <v>3</v>
      </c>
      <c r="D1324" s="30"/>
      <c r="E1324" s="31">
        <f t="shared" si="61"/>
        <v>3401.6949152542375</v>
      </c>
      <c r="F1324" s="38">
        <v>22300</v>
      </c>
    </row>
    <row r="1325" spans="2:6" ht="11.25">
      <c r="B1325" s="44" t="s">
        <v>1393</v>
      </c>
      <c r="C1325" s="36" t="s">
        <v>3</v>
      </c>
      <c r="D1325" s="30"/>
      <c r="E1325" s="31">
        <f t="shared" si="61"/>
        <v>2440.6779661016949</v>
      </c>
      <c r="F1325" s="38">
        <v>16000</v>
      </c>
    </row>
    <row r="1326" spans="2:6" ht="11.25">
      <c r="B1326" s="44" t="s">
        <v>1394</v>
      </c>
      <c r="C1326" s="36" t="s">
        <v>3</v>
      </c>
      <c r="D1326" s="30"/>
      <c r="E1326" s="31">
        <f t="shared" si="61"/>
        <v>2669.4915254237289</v>
      </c>
      <c r="F1326" s="38">
        <v>17500</v>
      </c>
    </row>
    <row r="1327" spans="2:6" ht="11.25">
      <c r="B1327" s="44" t="s">
        <v>1395</v>
      </c>
      <c r="C1327" s="36" t="s">
        <v>3</v>
      </c>
      <c r="D1327" s="30"/>
      <c r="E1327" s="31">
        <f t="shared" si="61"/>
        <v>3066.1016949152545</v>
      </c>
      <c r="F1327" s="38">
        <v>20100</v>
      </c>
    </row>
    <row r="1328" spans="2:6" ht="11.25">
      <c r="B1328" s="44" t="s">
        <v>1396</v>
      </c>
      <c r="C1328" s="36" t="s">
        <v>3</v>
      </c>
      <c r="D1328" s="30"/>
      <c r="E1328" s="31">
        <f t="shared" si="61"/>
        <v>3661.0169491525426</v>
      </c>
      <c r="F1328" s="38">
        <v>24000</v>
      </c>
    </row>
    <row r="1329" spans="2:6" ht="11.25">
      <c r="B1329" s="44" t="s">
        <v>1397</v>
      </c>
      <c r="C1329" s="36" t="s">
        <v>30</v>
      </c>
      <c r="D1329" s="30"/>
      <c r="E1329" s="31">
        <f t="shared" si="61"/>
        <v>94.576271186440678</v>
      </c>
      <c r="F1329" s="38">
        <v>620</v>
      </c>
    </row>
    <row r="1330" spans="2:6" ht="11.25">
      <c r="B1330" s="44" t="s">
        <v>1398</v>
      </c>
      <c r="C1330" s="36" t="s">
        <v>30</v>
      </c>
      <c r="D1330" s="30"/>
      <c r="E1330" s="31">
        <f t="shared" si="61"/>
        <v>102.96610169491527</v>
      </c>
      <c r="F1330" s="38">
        <v>675</v>
      </c>
    </row>
    <row r="1331" spans="2:6" ht="11.25">
      <c r="B1331" s="44" t="s">
        <v>1399</v>
      </c>
      <c r="C1331" s="36" t="s">
        <v>3</v>
      </c>
      <c r="D1331" s="30"/>
      <c r="E1331" s="31">
        <f t="shared" si="61"/>
        <v>255.5084745762712</v>
      </c>
      <c r="F1331" s="38">
        <v>1675</v>
      </c>
    </row>
    <row r="1332" spans="2:6" ht="11.25">
      <c r="B1332" s="44" t="s">
        <v>1400</v>
      </c>
      <c r="C1332" s="36" t="s">
        <v>3</v>
      </c>
      <c r="D1332" s="30"/>
      <c r="E1332" s="31">
        <f t="shared" si="61"/>
        <v>68.644067796610173</v>
      </c>
      <c r="F1332" s="38">
        <v>450</v>
      </c>
    </row>
    <row r="1333" spans="2:6" ht="11.25">
      <c r="B1333" s="44" t="s">
        <v>1401</v>
      </c>
      <c r="C1333" s="36" t="s">
        <v>3</v>
      </c>
      <c r="D1333" s="30"/>
      <c r="E1333" s="31">
        <f t="shared" si="61"/>
        <v>138.81355932203388</v>
      </c>
      <c r="F1333" s="38">
        <v>910</v>
      </c>
    </row>
    <row r="1334" spans="2:6" ht="11.25">
      <c r="B1334" s="44" t="s">
        <v>1402</v>
      </c>
      <c r="C1334" s="36" t="s">
        <v>3</v>
      </c>
      <c r="D1334" s="30"/>
      <c r="E1334" s="31">
        <f t="shared" si="61"/>
        <v>124.01542372881357</v>
      </c>
      <c r="F1334" s="38">
        <v>812.99</v>
      </c>
    </row>
    <row r="1335" spans="2:6" ht="11.25">
      <c r="B1335" s="44" t="s">
        <v>1403</v>
      </c>
      <c r="C1335" s="36" t="s">
        <v>3</v>
      </c>
      <c r="D1335" s="30"/>
      <c r="E1335" s="31">
        <f t="shared" si="61"/>
        <v>162.91372881355935</v>
      </c>
      <c r="F1335" s="38">
        <v>1067.99</v>
      </c>
    </row>
    <row r="1336" spans="2:6" ht="11.25">
      <c r="B1336" s="44" t="s">
        <v>1404</v>
      </c>
      <c r="C1336" s="36" t="s">
        <v>3</v>
      </c>
      <c r="D1336" s="30"/>
      <c r="E1336" s="31">
        <f t="shared" si="61"/>
        <v>160.77813559322036</v>
      </c>
      <c r="F1336" s="38">
        <v>1053.99</v>
      </c>
    </row>
    <row r="1337" spans="2:6" ht="11.25">
      <c r="B1337" s="44" t="s">
        <v>1405</v>
      </c>
      <c r="C1337" s="36" t="s">
        <v>3</v>
      </c>
      <c r="D1337" s="30"/>
      <c r="E1337" s="31">
        <f t="shared" si="61"/>
        <v>116.69491525423729</v>
      </c>
      <c r="F1337" s="38">
        <v>765</v>
      </c>
    </row>
    <row r="1338" spans="2:6" ht="11.25">
      <c r="B1338" s="44" t="s">
        <v>1406</v>
      </c>
      <c r="C1338" s="36" t="s">
        <v>3</v>
      </c>
      <c r="D1338" s="30"/>
      <c r="E1338" s="31">
        <f t="shared" si="61"/>
        <v>111.50694915254239</v>
      </c>
      <c r="F1338" s="38">
        <v>730.99</v>
      </c>
    </row>
    <row r="1339" spans="2:6" ht="11.25">
      <c r="B1339" s="44" t="s">
        <v>1407</v>
      </c>
      <c r="C1339" s="36" t="s">
        <v>1408</v>
      </c>
      <c r="D1339" s="30"/>
      <c r="E1339" s="31">
        <f t="shared" si="61"/>
        <v>29.745762711864408</v>
      </c>
      <c r="F1339" s="38">
        <v>195</v>
      </c>
    </row>
    <row r="1340" spans="2:6" ht="11.25">
      <c r="B1340" s="44" t="s">
        <v>1409</v>
      </c>
      <c r="C1340" s="36" t="s">
        <v>1408</v>
      </c>
      <c r="D1340" s="30"/>
      <c r="E1340" s="31">
        <f t="shared" si="61"/>
        <v>24.406779661016948</v>
      </c>
      <c r="F1340" s="38">
        <v>160</v>
      </c>
    </row>
    <row r="1341" spans="2:6" ht="11.25">
      <c r="B1341" s="44" t="s">
        <v>1410</v>
      </c>
      <c r="C1341" s="36" t="s">
        <v>3</v>
      </c>
      <c r="D1341" s="30"/>
      <c r="E1341" s="31">
        <f t="shared" si="61"/>
        <v>22.881355932203391</v>
      </c>
      <c r="F1341" s="38">
        <v>150</v>
      </c>
    </row>
    <row r="1342" spans="2:6" ht="11.25">
      <c r="D1342" s="30"/>
      <c r="E1342" s="31"/>
    </row>
    <row r="1343" spans="2:6" ht="11.25">
      <c r="B1343" s="32" t="s">
        <v>1411</v>
      </c>
      <c r="C1343" s="36"/>
      <c r="D1343" s="30"/>
      <c r="E1343" s="31"/>
    </row>
    <row r="1344" spans="2:6" ht="11.25">
      <c r="B1344" s="44" t="s">
        <v>1412</v>
      </c>
      <c r="C1344" s="36" t="s">
        <v>30</v>
      </c>
      <c r="D1344" s="30"/>
      <c r="E1344" s="31">
        <f>+F1344*0.18/1.18</f>
        <v>93.432203389830519</v>
      </c>
      <c r="F1344" s="38">
        <v>612.5</v>
      </c>
    </row>
    <row r="1345" spans="2:6" ht="11.25">
      <c r="B1345" s="44" t="s">
        <v>1413</v>
      </c>
      <c r="C1345" s="36" t="s">
        <v>30</v>
      </c>
      <c r="D1345" s="30"/>
      <c r="E1345" s="31">
        <f>+F1345*0.18/1.18</f>
        <v>93.432203389830519</v>
      </c>
      <c r="F1345" s="38">
        <v>612.5</v>
      </c>
    </row>
    <row r="1346" spans="2:6" ht="11.25">
      <c r="B1346" s="44" t="s">
        <v>1414</v>
      </c>
      <c r="C1346" s="36" t="s">
        <v>30</v>
      </c>
      <c r="D1346" s="30"/>
      <c r="E1346" s="31">
        <f>+F1346*0.18/1.18</f>
        <v>136.30881355932206</v>
      </c>
      <c r="F1346" s="38">
        <v>893.58</v>
      </c>
    </row>
    <row r="1347" spans="2:6" ht="11.25">
      <c r="C1347" s="36"/>
      <c r="D1347" s="30"/>
      <c r="E1347" s="31"/>
      <c r="F1347" s="41"/>
    </row>
    <row r="1348" spans="2:6" ht="11.25">
      <c r="B1348" s="32" t="s">
        <v>1415</v>
      </c>
      <c r="C1348" s="36"/>
      <c r="D1348" s="30"/>
      <c r="E1348" s="31"/>
    </row>
    <row r="1349" spans="2:6" ht="11.25">
      <c r="B1349" s="44" t="s">
        <v>1412</v>
      </c>
      <c r="C1349" s="36" t="s">
        <v>30</v>
      </c>
      <c r="D1349" s="30"/>
      <c r="E1349" s="31">
        <f>+F1349*0.18/1.18</f>
        <v>71.530169491525427</v>
      </c>
      <c r="F1349" s="38">
        <v>468.92</v>
      </c>
    </row>
    <row r="1350" spans="2:6" ht="11.25">
      <c r="B1350" s="44" t="s">
        <v>1413</v>
      </c>
      <c r="C1350" s="36" t="s">
        <v>30</v>
      </c>
      <c r="D1350" s="30"/>
      <c r="E1350" s="31">
        <f>+F1350*0.18/1.18</f>
        <v>67.81728813559323</v>
      </c>
      <c r="F1350" s="38">
        <v>444.58</v>
      </c>
    </row>
    <row r="1351" spans="2:6" ht="11.25">
      <c r="B1351" s="44" t="s">
        <v>1414</v>
      </c>
      <c r="C1351" s="36" t="s">
        <v>30</v>
      </c>
      <c r="D1351" s="30"/>
      <c r="E1351" s="31">
        <f>+F1351*0.18/1.18</f>
        <v>109.76338983050846</v>
      </c>
      <c r="F1351" s="38">
        <v>719.56</v>
      </c>
    </row>
    <row r="1352" spans="2:6" ht="11.25">
      <c r="C1352" s="36"/>
      <c r="D1352" s="30"/>
      <c r="E1352" s="31"/>
      <c r="F1352" s="41"/>
    </row>
    <row r="1353" spans="2:6" ht="11.25">
      <c r="B1353" s="32" t="s">
        <v>1416</v>
      </c>
      <c r="C1353" s="36"/>
      <c r="D1353" s="30"/>
      <c r="E1353" s="31"/>
    </row>
    <row r="1354" spans="2:6" ht="11.25">
      <c r="B1354" s="44" t="s">
        <v>1417</v>
      </c>
      <c r="C1354" s="36" t="s">
        <v>30</v>
      </c>
      <c r="D1354" s="37">
        <f t="shared" ref="D1354:D1355" si="62">+F1354-E1354</f>
        <v>210.09322033898306</v>
      </c>
      <c r="E1354" s="31">
        <f t="shared" ref="E1354:E1359" si="63">+F1354*0.18/1.18</f>
        <v>37.816779661016945</v>
      </c>
      <c r="F1354" s="38">
        <v>247.91</v>
      </c>
    </row>
    <row r="1355" spans="2:6" ht="11.25">
      <c r="B1355" s="44" t="s">
        <v>1418</v>
      </c>
      <c r="C1355" s="36" t="s">
        <v>30</v>
      </c>
      <c r="D1355" s="37">
        <f t="shared" si="62"/>
        <v>202.89830508474574</v>
      </c>
      <c r="E1355" s="31">
        <f t="shared" si="63"/>
        <v>36.521694915254237</v>
      </c>
      <c r="F1355" s="38">
        <v>239.42</v>
      </c>
    </row>
    <row r="1356" spans="2:6" ht="11.25">
      <c r="B1356" s="44" t="s">
        <v>1419</v>
      </c>
      <c r="C1356" s="36" t="s">
        <v>30</v>
      </c>
      <c r="D1356" s="37">
        <f>+F1356-E1356</f>
        <v>249.43220338983048</v>
      </c>
      <c r="E1356" s="31">
        <f t="shared" si="63"/>
        <v>44.897796610169493</v>
      </c>
      <c r="F1356" s="38">
        <v>294.33</v>
      </c>
    </row>
    <row r="1357" spans="2:6" ht="11.25">
      <c r="B1357" s="44" t="s">
        <v>1420</v>
      </c>
      <c r="C1357" s="36" t="s">
        <v>30</v>
      </c>
      <c r="D1357" s="30"/>
      <c r="E1357" s="31">
        <f t="shared" si="63"/>
        <v>54.218135593220339</v>
      </c>
      <c r="F1357" s="38">
        <v>355.43</v>
      </c>
    </row>
    <row r="1358" spans="2:6" ht="11.25">
      <c r="B1358" s="44" t="s">
        <v>1421</v>
      </c>
      <c r="C1358" s="36" t="s">
        <v>30</v>
      </c>
      <c r="D1358" s="30"/>
      <c r="E1358" s="31">
        <f t="shared" si="63"/>
        <v>63.988474576271187</v>
      </c>
      <c r="F1358" s="38">
        <v>419.48</v>
      </c>
    </row>
    <row r="1359" spans="2:6" ht="11.25">
      <c r="B1359" s="44" t="s">
        <v>1422</v>
      </c>
      <c r="C1359" s="36" t="s">
        <v>30</v>
      </c>
      <c r="D1359" s="30"/>
      <c r="E1359" s="31">
        <f t="shared" si="63"/>
        <v>153.63762711864408</v>
      </c>
      <c r="F1359" s="38">
        <v>1007.18</v>
      </c>
    </row>
    <row r="1360" spans="2:6" ht="11.25">
      <c r="D1360" s="30"/>
      <c r="E1360" s="31"/>
    </row>
    <row r="1361" spans="2:6" ht="11.25">
      <c r="B1361" s="32" t="s">
        <v>1423</v>
      </c>
      <c r="C1361" s="36"/>
      <c r="D1361" s="30"/>
      <c r="E1361" s="31"/>
    </row>
    <row r="1362" spans="2:6" ht="11.25">
      <c r="B1362" s="44" t="s">
        <v>1417</v>
      </c>
      <c r="C1362" s="36" t="s">
        <v>30</v>
      </c>
      <c r="D1362" s="30"/>
      <c r="E1362" s="31">
        <f t="shared" ref="E1362:E1367" si="64">+F1362*0.18/1.18</f>
        <v>35.1</v>
      </c>
      <c r="F1362" s="38">
        <v>230.1</v>
      </c>
    </row>
    <row r="1363" spans="2:6" ht="13.5" customHeight="1">
      <c r="B1363" s="44" t="s">
        <v>1418</v>
      </c>
      <c r="C1363" s="36" t="s">
        <v>30</v>
      </c>
      <c r="D1363" s="30"/>
      <c r="E1363" s="31">
        <f t="shared" si="64"/>
        <v>34.245762711864408</v>
      </c>
      <c r="F1363" s="38">
        <v>224.5</v>
      </c>
    </row>
    <row r="1364" spans="2:6" ht="11.25">
      <c r="B1364" s="44" t="s">
        <v>1419</v>
      </c>
      <c r="C1364" s="36" t="s">
        <v>30</v>
      </c>
      <c r="D1364" s="30"/>
      <c r="E1364" s="31">
        <f t="shared" si="64"/>
        <v>32.033898305084747</v>
      </c>
      <c r="F1364" s="38">
        <v>210</v>
      </c>
    </row>
    <row r="1365" spans="2:6" ht="11.25">
      <c r="B1365" s="44" t="s">
        <v>1420</v>
      </c>
      <c r="C1365" s="36" t="s">
        <v>30</v>
      </c>
      <c r="D1365" s="30"/>
      <c r="E1365" s="31">
        <f t="shared" si="64"/>
        <v>39.6</v>
      </c>
      <c r="F1365" s="38">
        <v>259.60000000000002</v>
      </c>
    </row>
    <row r="1366" spans="2:6" ht="11.25">
      <c r="B1366" s="44" t="s">
        <v>1421</v>
      </c>
      <c r="C1366" s="36" t="s">
        <v>30</v>
      </c>
      <c r="D1366" s="30"/>
      <c r="E1366" s="31">
        <f t="shared" si="64"/>
        <v>62.145762711864407</v>
      </c>
      <c r="F1366" s="38">
        <v>407.4</v>
      </c>
    </row>
    <row r="1367" spans="2:6" ht="11.25">
      <c r="B1367" s="44" t="s">
        <v>1422</v>
      </c>
      <c r="C1367" s="36" t="s">
        <v>30</v>
      </c>
      <c r="D1367" s="30"/>
      <c r="E1367" s="31">
        <f t="shared" si="64"/>
        <v>99.152542372881356</v>
      </c>
      <c r="F1367" s="38">
        <v>650</v>
      </c>
    </row>
    <row r="1368" spans="2:6" ht="11.25">
      <c r="D1368" s="30"/>
      <c r="E1368" s="31"/>
    </row>
    <row r="1369" spans="2:6" ht="11.25">
      <c r="B1369" s="32" t="s">
        <v>1424</v>
      </c>
      <c r="C1369" s="36"/>
      <c r="D1369" s="30"/>
      <c r="E1369" s="31"/>
    </row>
    <row r="1370" spans="2:6" ht="22.5">
      <c r="B1370" s="44" t="s">
        <v>1425</v>
      </c>
      <c r="C1370" s="36" t="s">
        <v>28</v>
      </c>
      <c r="D1370" s="30"/>
      <c r="E1370" s="31">
        <f t="shared" ref="E1370:E1380" si="65">+F1370*0.18/1.18</f>
        <v>1459.8305084745762</v>
      </c>
      <c r="F1370" s="38">
        <v>9570</v>
      </c>
    </row>
    <row r="1371" spans="2:6" ht="22.5">
      <c r="B1371" s="44" t="s">
        <v>1426</v>
      </c>
      <c r="C1371" s="36" t="s">
        <v>28</v>
      </c>
      <c r="D1371" s="30"/>
      <c r="E1371" s="31">
        <f t="shared" si="65"/>
        <v>2796.1016949152545</v>
      </c>
      <c r="F1371" s="38">
        <v>18330</v>
      </c>
    </row>
    <row r="1372" spans="2:6" ht="11.25">
      <c r="B1372" s="44" t="s">
        <v>1427</v>
      </c>
      <c r="C1372" s="36" t="s">
        <v>28</v>
      </c>
      <c r="D1372" s="30"/>
      <c r="E1372" s="31">
        <f t="shared" si="65"/>
        <v>602.54237288135596</v>
      </c>
      <c r="F1372" s="38">
        <v>3950</v>
      </c>
    </row>
    <row r="1373" spans="2:6" ht="11.25">
      <c r="B1373" s="44" t="s">
        <v>1428</v>
      </c>
      <c r="C1373" s="36" t="s">
        <v>28</v>
      </c>
      <c r="D1373" s="30"/>
      <c r="E1373" s="31">
        <f t="shared" si="65"/>
        <v>639.15254237288138</v>
      </c>
      <c r="F1373" s="38">
        <v>4190</v>
      </c>
    </row>
    <row r="1374" spans="2:6" ht="11.25">
      <c r="B1374" s="44" t="s">
        <v>1429</v>
      </c>
      <c r="C1374" s="36" t="s">
        <v>28</v>
      </c>
      <c r="D1374" s="30"/>
      <c r="E1374" s="31">
        <f t="shared" si="65"/>
        <v>686.4406779661017</v>
      </c>
      <c r="F1374" s="38">
        <v>4500</v>
      </c>
    </row>
    <row r="1375" spans="2:6" ht="11.25">
      <c r="B1375" s="44" t="s">
        <v>1430</v>
      </c>
      <c r="C1375" s="36" t="s">
        <v>28</v>
      </c>
      <c r="D1375" s="30"/>
      <c r="E1375" s="31">
        <f t="shared" si="65"/>
        <v>686.4406779661017</v>
      </c>
      <c r="F1375" s="38">
        <v>4500</v>
      </c>
    </row>
    <row r="1376" spans="2:6" ht="11.25">
      <c r="B1376" s="44" t="s">
        <v>1431</v>
      </c>
      <c r="C1376" s="36" t="s">
        <v>9</v>
      </c>
      <c r="D1376" s="37">
        <f>+F1376-E1376</f>
        <v>4006.7796610169489</v>
      </c>
      <c r="E1376" s="31">
        <f t="shared" si="65"/>
        <v>721.22033898305085</v>
      </c>
      <c r="F1376" s="38">
        <v>4728</v>
      </c>
    </row>
    <row r="1377" spans="2:6" ht="11.25">
      <c r="B1377" s="44" t="s">
        <v>1432</v>
      </c>
      <c r="C1377" s="36" t="s">
        <v>9</v>
      </c>
      <c r="D1377" s="37">
        <f t="shared" ref="D1377:D1378" si="66">+F1377-E1377</f>
        <v>10169.491525423729</v>
      </c>
      <c r="E1377" s="31">
        <f t="shared" si="65"/>
        <v>1830.5084745762713</v>
      </c>
      <c r="F1377" s="38">
        <v>12000</v>
      </c>
    </row>
    <row r="1378" spans="2:6" ht="11.25">
      <c r="B1378" s="44" t="s">
        <v>1433</v>
      </c>
      <c r="C1378" s="36" t="s">
        <v>9</v>
      </c>
      <c r="D1378" s="37">
        <f t="shared" si="66"/>
        <v>8898.3050847457635</v>
      </c>
      <c r="E1378" s="31">
        <f t="shared" si="65"/>
        <v>1601.6949152542375</v>
      </c>
      <c r="F1378" s="38">
        <v>10500</v>
      </c>
    </row>
    <row r="1379" spans="2:6" ht="11.25">
      <c r="B1379" s="44" t="s">
        <v>1434</v>
      </c>
      <c r="C1379" s="36" t="s">
        <v>9</v>
      </c>
      <c r="D1379" s="30"/>
      <c r="E1379" s="31">
        <f t="shared" si="65"/>
        <v>3813.5593220338983</v>
      </c>
      <c r="F1379" s="38">
        <v>25000</v>
      </c>
    </row>
    <row r="1380" spans="2:6" ht="11.25">
      <c r="B1380" s="44" t="s">
        <v>1435</v>
      </c>
      <c r="C1380" s="36" t="s">
        <v>9</v>
      </c>
      <c r="D1380" s="30"/>
      <c r="E1380" s="31">
        <f t="shared" si="65"/>
        <v>4271.1864406779659</v>
      </c>
      <c r="F1380" s="38">
        <v>28000</v>
      </c>
    </row>
    <row r="1381" spans="2:6" ht="11.25">
      <c r="C1381" s="36"/>
      <c r="D1381" s="30"/>
      <c r="E1381" s="31"/>
      <c r="F1381" s="41"/>
    </row>
    <row r="1382" spans="2:6" ht="11.25">
      <c r="B1382" s="32" t="s">
        <v>1436</v>
      </c>
      <c r="C1382" s="36"/>
      <c r="D1382" s="30"/>
      <c r="E1382" s="31"/>
    </row>
    <row r="1383" spans="2:6" ht="11.25">
      <c r="B1383" s="35" t="s">
        <v>1437</v>
      </c>
      <c r="C1383" s="36" t="s">
        <v>9</v>
      </c>
      <c r="D1383" s="30"/>
      <c r="E1383" s="31">
        <f t="shared" ref="E1383:E1388" si="67">+F1383*0.18/1.18</f>
        <v>95.33898305084746</v>
      </c>
      <c r="F1383" s="38">
        <v>625</v>
      </c>
    </row>
    <row r="1384" spans="2:6" ht="11.25">
      <c r="B1384" s="35" t="s">
        <v>1438</v>
      </c>
      <c r="C1384" s="36" t="s">
        <v>9</v>
      </c>
      <c r="D1384" s="30"/>
      <c r="E1384" s="31">
        <f t="shared" si="67"/>
        <v>130.42372881355934</v>
      </c>
      <c r="F1384" s="38">
        <v>855</v>
      </c>
    </row>
    <row r="1385" spans="2:6" ht="11.25">
      <c r="B1385" s="35" t="s">
        <v>1439</v>
      </c>
      <c r="C1385" s="36" t="s">
        <v>9</v>
      </c>
      <c r="D1385" s="37">
        <f>+F1385-E1385</f>
        <v>1101.6949152542372</v>
      </c>
      <c r="E1385" s="31">
        <f t="shared" si="67"/>
        <v>198.30508474576271</v>
      </c>
      <c r="F1385" s="38">
        <v>1300</v>
      </c>
    </row>
    <row r="1386" spans="2:6" ht="11.25">
      <c r="B1386" s="35" t="s">
        <v>1440</v>
      </c>
      <c r="C1386" s="36" t="s">
        <v>9</v>
      </c>
      <c r="D1386" s="30"/>
      <c r="E1386" s="31">
        <f t="shared" si="67"/>
        <v>215.38983050847457</v>
      </c>
      <c r="F1386" s="38">
        <v>1412</v>
      </c>
    </row>
    <row r="1387" spans="2:6" ht="11.25">
      <c r="B1387" s="35" t="s">
        <v>1441</v>
      </c>
      <c r="C1387" s="36" t="s">
        <v>129</v>
      </c>
      <c r="D1387" s="30"/>
      <c r="E1387" s="31">
        <f t="shared" si="67"/>
        <v>45.000000000000007</v>
      </c>
      <c r="F1387" s="38">
        <v>295</v>
      </c>
    </row>
    <row r="1388" spans="2:6" ht="11.25">
      <c r="B1388" s="44" t="s">
        <v>1442</v>
      </c>
      <c r="C1388" s="36" t="s">
        <v>3</v>
      </c>
      <c r="D1388" s="30"/>
      <c r="E1388" s="31">
        <f t="shared" si="67"/>
        <v>23.186440677966104</v>
      </c>
      <c r="F1388" s="38">
        <v>152</v>
      </c>
    </row>
    <row r="1389" spans="2:6" ht="11.25">
      <c r="D1389" s="30"/>
      <c r="E1389" s="31"/>
    </row>
    <row r="1390" spans="2:6" ht="11.25">
      <c r="B1390" s="32" t="s">
        <v>1443</v>
      </c>
      <c r="C1390" s="36"/>
      <c r="D1390" s="30"/>
      <c r="E1390" s="31"/>
    </row>
    <row r="1391" spans="2:6" ht="22.5">
      <c r="B1391" s="44" t="s">
        <v>1444</v>
      </c>
      <c r="C1391" s="36" t="s">
        <v>3</v>
      </c>
      <c r="D1391" s="30"/>
      <c r="E1391" s="31">
        <f>+F1391*0.18/1.18</f>
        <v>357447.60000000003</v>
      </c>
      <c r="F1391" s="38">
        <v>2343267.6</v>
      </c>
    </row>
    <row r="1392" spans="2:6" ht="11.25">
      <c r="D1392" s="30"/>
      <c r="E1392" s="31"/>
    </row>
    <row r="1393" spans="2:6" ht="11.25">
      <c r="B1393" s="32" t="s">
        <v>1445</v>
      </c>
      <c r="C1393" s="36"/>
      <c r="D1393" s="30"/>
      <c r="E1393" s="31"/>
    </row>
    <row r="1394" spans="2:6" ht="11.25">
      <c r="B1394" s="44" t="s">
        <v>1446</v>
      </c>
      <c r="C1394" s="36" t="s">
        <v>3</v>
      </c>
      <c r="D1394" s="30"/>
      <c r="E1394" s="31">
        <f>+F1394*0.18/1.18</f>
        <v>10601.694915254238</v>
      </c>
      <c r="F1394" s="38">
        <v>69500</v>
      </c>
    </row>
    <row r="1395" spans="2:6" ht="11.25">
      <c r="B1395" s="44" t="s">
        <v>1447</v>
      </c>
      <c r="C1395" s="36" t="s">
        <v>3</v>
      </c>
      <c r="D1395" s="30"/>
      <c r="E1395" s="31">
        <f>+F1395*0.18/1.18</f>
        <v>64096.47457627119</v>
      </c>
      <c r="F1395" s="38">
        <v>420188</v>
      </c>
    </row>
    <row r="1396" spans="2:6" ht="11.25">
      <c r="B1396" s="44" t="s">
        <v>1448</v>
      </c>
      <c r="C1396" s="36" t="s">
        <v>3</v>
      </c>
      <c r="D1396" s="30"/>
      <c r="E1396" s="31">
        <f>+F1396*0.18/1.18</f>
        <v>101851.93220338984</v>
      </c>
      <c r="F1396" s="38">
        <v>667696</v>
      </c>
    </row>
    <row r="1397" spans="2:6" ht="11.25">
      <c r="B1397" s="44" t="s">
        <v>1449</v>
      </c>
      <c r="C1397" s="36" t="s">
        <v>3</v>
      </c>
      <c r="D1397" s="30"/>
      <c r="E1397" s="31">
        <f>+F1397*0.18/1.18</f>
        <v>185704.16949152542</v>
      </c>
      <c r="F1397" s="38">
        <v>1217394</v>
      </c>
    </row>
    <row r="1398" spans="2:6" ht="11.25">
      <c r="D1398" s="30"/>
      <c r="E1398" s="31"/>
    </row>
    <row r="1399" spans="2:6" ht="11.25">
      <c r="B1399" s="32" t="s">
        <v>1450</v>
      </c>
      <c r="C1399" s="36"/>
      <c r="D1399" s="30"/>
      <c r="E1399" s="31"/>
    </row>
    <row r="1400" spans="2:6" ht="11.25">
      <c r="B1400" s="44" t="s">
        <v>1451</v>
      </c>
      <c r="C1400" s="36" t="s">
        <v>291</v>
      </c>
      <c r="D1400" s="30"/>
      <c r="E1400" s="31">
        <f>+F1400*0.18/1.18</f>
        <v>3267.4576271186443</v>
      </c>
      <c r="F1400" s="38">
        <v>21420</v>
      </c>
    </row>
    <row r="1401" spans="2:6" ht="11.25">
      <c r="B1401" s="44" t="s">
        <v>1452</v>
      </c>
      <c r="C1401" s="36" t="s">
        <v>291</v>
      </c>
      <c r="D1401" s="30"/>
      <c r="E1401" s="31">
        <f>+F1401*0.18/1.18</f>
        <v>3993.5593220338983</v>
      </c>
      <c r="F1401" s="38">
        <v>26180</v>
      </c>
    </row>
    <row r="1402" spans="2:6" ht="11.25">
      <c r="B1402" s="44" t="s">
        <v>1453</v>
      </c>
      <c r="C1402" s="36" t="s">
        <v>291</v>
      </c>
      <c r="D1402" s="30"/>
      <c r="E1402" s="31">
        <f>+F1402*0.18/1.18</f>
        <v>4719.6610169491523</v>
      </c>
      <c r="F1402" s="38">
        <v>30940</v>
      </c>
    </row>
    <row r="1403" spans="2:6" ht="11.25">
      <c r="B1403" s="44" t="s">
        <v>1454</v>
      </c>
      <c r="C1403" s="36" t="s">
        <v>291</v>
      </c>
      <c r="D1403" s="30"/>
      <c r="E1403" s="31">
        <f>+F1403*0.18/1.18</f>
        <v>764.85813559322025</v>
      </c>
      <c r="F1403" s="38">
        <v>5014.07</v>
      </c>
    </row>
    <row r="1404" spans="2:6" ht="11.25">
      <c r="B1404" s="44" t="s">
        <v>1455</v>
      </c>
      <c r="C1404" s="36" t="s">
        <v>3</v>
      </c>
      <c r="D1404" s="30"/>
      <c r="E1404" s="31">
        <f>+F1404*0.18/1.18</f>
        <v>3267.4576271186443</v>
      </c>
      <c r="F1404" s="38">
        <v>21420</v>
      </c>
    </row>
    <row r="1405" spans="2:6" ht="11.25">
      <c r="D1405" s="30"/>
      <c r="E1405" s="31"/>
    </row>
    <row r="1406" spans="2:6" ht="11.25">
      <c r="B1406" s="46" t="s">
        <v>1456</v>
      </c>
      <c r="C1406" s="36"/>
      <c r="D1406" s="30"/>
      <c r="E1406" s="31"/>
    </row>
    <row r="1407" spans="2:6" ht="11.25">
      <c r="B1407" s="44" t="s">
        <v>1457</v>
      </c>
      <c r="C1407" s="36" t="s">
        <v>9</v>
      </c>
      <c r="D1407" s="30"/>
      <c r="E1407" s="31">
        <f t="shared" ref="E1407:E1426" si="68">+F1407*0.18/1.18</f>
        <v>154.08305084745763</v>
      </c>
      <c r="F1407" s="38">
        <v>1010.1</v>
      </c>
    </row>
    <row r="1408" spans="2:6" ht="11.25">
      <c r="B1408" s="44" t="s">
        <v>1458</v>
      </c>
      <c r="C1408" s="36" t="s">
        <v>9</v>
      </c>
      <c r="D1408" s="30"/>
      <c r="E1408" s="31">
        <f t="shared" si="68"/>
        <v>154.08305084745763</v>
      </c>
      <c r="F1408" s="38">
        <v>1010.1</v>
      </c>
    </row>
    <row r="1409" spans="2:6" ht="11.25">
      <c r="B1409" s="44" t="s">
        <v>1459</v>
      </c>
      <c r="C1409" s="36" t="s">
        <v>9</v>
      </c>
      <c r="D1409" s="30"/>
      <c r="E1409" s="31">
        <f t="shared" si="68"/>
        <v>154.08305084745763</v>
      </c>
      <c r="F1409" s="38">
        <v>1010.1</v>
      </c>
    </row>
    <row r="1410" spans="2:6" ht="11.25">
      <c r="B1410" s="44" t="s">
        <v>1460</v>
      </c>
      <c r="C1410" s="36" t="s">
        <v>9</v>
      </c>
      <c r="D1410" s="30"/>
      <c r="E1410" s="31">
        <f t="shared" si="68"/>
        <v>51.361016949152543</v>
      </c>
      <c r="F1410" s="38">
        <v>336.7</v>
      </c>
    </row>
    <row r="1411" spans="2:6" ht="11.25">
      <c r="B1411" s="44" t="s">
        <v>1461</v>
      </c>
      <c r="C1411" s="36" t="s">
        <v>9</v>
      </c>
      <c r="D1411" s="30"/>
      <c r="E1411" s="31">
        <f t="shared" si="68"/>
        <v>51.361016949152543</v>
      </c>
      <c r="F1411" s="38">
        <v>336.7</v>
      </c>
    </row>
    <row r="1412" spans="2:6" ht="11.25">
      <c r="B1412" s="44" t="s">
        <v>1462</v>
      </c>
      <c r="C1412" s="36" t="s">
        <v>9</v>
      </c>
      <c r="D1412" s="30"/>
      <c r="E1412" s="31">
        <f t="shared" si="68"/>
        <v>154.08305084745763</v>
      </c>
      <c r="F1412" s="38">
        <v>1010.1</v>
      </c>
    </row>
    <row r="1413" spans="2:6" ht="11.25">
      <c r="B1413" s="44" t="s">
        <v>1463</v>
      </c>
      <c r="C1413" s="36" t="s">
        <v>9</v>
      </c>
      <c r="D1413" s="30"/>
      <c r="E1413" s="31">
        <f t="shared" si="68"/>
        <v>154.08305084745763</v>
      </c>
      <c r="F1413" s="38">
        <v>1010.1</v>
      </c>
    </row>
    <row r="1414" spans="2:6" ht="11.25">
      <c r="B1414" s="44" t="s">
        <v>1464</v>
      </c>
      <c r="C1414" s="36" t="s">
        <v>9</v>
      </c>
      <c r="D1414" s="30"/>
      <c r="E1414" s="31">
        <f t="shared" si="68"/>
        <v>102.72203389830509</v>
      </c>
      <c r="F1414" s="38">
        <v>673.4</v>
      </c>
    </row>
    <row r="1415" spans="2:6" ht="11.25">
      <c r="B1415" s="44" t="s">
        <v>1465</v>
      </c>
      <c r="C1415" s="36" t="s">
        <v>9</v>
      </c>
      <c r="D1415" s="30"/>
      <c r="E1415" s="31">
        <f t="shared" si="68"/>
        <v>102.72203389830509</v>
      </c>
      <c r="F1415" s="38">
        <v>673.4</v>
      </c>
    </row>
    <row r="1416" spans="2:6" ht="11.25">
      <c r="B1416" s="44" t="s">
        <v>1466</v>
      </c>
      <c r="C1416" s="36" t="s">
        <v>9</v>
      </c>
      <c r="D1416" s="30"/>
      <c r="E1416" s="31">
        <f t="shared" si="68"/>
        <v>141.24355932203389</v>
      </c>
      <c r="F1416" s="38">
        <v>925.93</v>
      </c>
    </row>
    <row r="1417" spans="2:6" ht="11.25">
      <c r="B1417" s="44" t="s">
        <v>1467</v>
      </c>
      <c r="C1417" s="36" t="s">
        <v>9</v>
      </c>
      <c r="D1417" s="30"/>
      <c r="E1417" s="31">
        <f t="shared" si="68"/>
        <v>141.24355932203389</v>
      </c>
      <c r="F1417" s="38">
        <v>925.93</v>
      </c>
    </row>
    <row r="1418" spans="2:6" ht="11.25">
      <c r="B1418" s="44" t="s">
        <v>1468</v>
      </c>
      <c r="C1418" s="36" t="s">
        <v>9</v>
      </c>
      <c r="D1418" s="37">
        <f>+F1418-E1418</f>
        <v>131.35593220338984</v>
      </c>
      <c r="E1418" s="31">
        <f t="shared" si="68"/>
        <v>23.64406779661017</v>
      </c>
      <c r="F1418" s="38">
        <v>155</v>
      </c>
    </row>
    <row r="1419" spans="2:6" ht="11.25">
      <c r="B1419" s="44" t="s">
        <v>1469</v>
      </c>
      <c r="C1419" s="36" t="s">
        <v>3</v>
      </c>
      <c r="D1419" s="30"/>
      <c r="E1419" s="31">
        <f t="shared" si="68"/>
        <v>12.966101694915254</v>
      </c>
      <c r="F1419" s="38">
        <v>85</v>
      </c>
    </row>
    <row r="1420" spans="2:6" ht="11.25">
      <c r="B1420" s="44" t="s">
        <v>1470</v>
      </c>
      <c r="C1420" s="36" t="s">
        <v>3</v>
      </c>
      <c r="D1420" s="30"/>
      <c r="E1420" s="31">
        <f t="shared" si="68"/>
        <v>11.898305084745763</v>
      </c>
      <c r="F1420" s="38">
        <v>78</v>
      </c>
    </row>
    <row r="1421" spans="2:6" ht="11.25">
      <c r="B1421" s="44" t="s">
        <v>1471</v>
      </c>
      <c r="C1421" s="36" t="s">
        <v>3</v>
      </c>
      <c r="D1421" s="30"/>
      <c r="E1421" s="31">
        <f t="shared" si="68"/>
        <v>10.677966101694915</v>
      </c>
      <c r="F1421" s="38">
        <v>70</v>
      </c>
    </row>
    <row r="1422" spans="2:6" ht="11.25">
      <c r="B1422" s="44" t="s">
        <v>1472</v>
      </c>
      <c r="C1422" s="36" t="s">
        <v>3</v>
      </c>
      <c r="D1422" s="30"/>
      <c r="E1422" s="31">
        <f t="shared" si="68"/>
        <v>22.881355932203391</v>
      </c>
      <c r="F1422" s="38">
        <v>150</v>
      </c>
    </row>
    <row r="1423" spans="2:6" ht="11.25">
      <c r="B1423" s="44" t="s">
        <v>1473</v>
      </c>
      <c r="C1423" s="36" t="s">
        <v>3</v>
      </c>
      <c r="D1423" s="30"/>
      <c r="E1423" s="31">
        <f t="shared" si="68"/>
        <v>350.84745762711867</v>
      </c>
      <c r="F1423" s="38">
        <v>2300</v>
      </c>
    </row>
    <row r="1424" spans="2:6" ht="11.25">
      <c r="B1424" s="44" t="s">
        <v>1474</v>
      </c>
      <c r="C1424" s="36" t="s">
        <v>3</v>
      </c>
      <c r="D1424" s="30"/>
      <c r="E1424" s="31">
        <f t="shared" si="68"/>
        <v>282.20338983050851</v>
      </c>
      <c r="F1424" s="38">
        <v>1850</v>
      </c>
    </row>
    <row r="1425" spans="2:6" ht="11.25">
      <c r="B1425" s="44" t="s">
        <v>1475</v>
      </c>
      <c r="C1425" s="36" t="s">
        <v>3</v>
      </c>
      <c r="D1425" s="30"/>
      <c r="E1425" s="31">
        <f t="shared" si="68"/>
        <v>547.62711864406776</v>
      </c>
      <c r="F1425" s="38">
        <v>3590</v>
      </c>
    </row>
    <row r="1426" spans="2:6" ht="11.25">
      <c r="B1426" s="44" t="s">
        <v>151</v>
      </c>
      <c r="C1426" s="36" t="s">
        <v>20</v>
      </c>
      <c r="D1426" s="30"/>
      <c r="E1426" s="31">
        <f t="shared" si="68"/>
        <v>144.91525423728814</v>
      </c>
      <c r="F1426" s="38">
        <v>950</v>
      </c>
    </row>
    <row r="1428" spans="2:6" ht="11.25">
      <c r="D1428" s="30"/>
      <c r="F1428" s="28" t="s">
        <v>1476</v>
      </c>
    </row>
    <row r="1429" spans="2:6" ht="11.25">
      <c r="B1429" s="32" t="s">
        <v>1477</v>
      </c>
      <c r="C1429" s="36"/>
      <c r="D1429" s="30"/>
      <c r="F1429" s="34" t="s">
        <v>1478</v>
      </c>
    </row>
    <row r="1430" spans="2:6" ht="11.25">
      <c r="B1430" s="44" t="s">
        <v>1479</v>
      </c>
      <c r="C1430" s="36"/>
      <c r="D1430" s="30"/>
      <c r="F1430" s="40">
        <v>50</v>
      </c>
    </row>
    <row r="1431" spans="2:6" ht="11.25">
      <c r="B1431" s="44" t="s">
        <v>1480</v>
      </c>
      <c r="C1431" s="36"/>
      <c r="D1431" s="30"/>
      <c r="F1431" s="40">
        <v>25</v>
      </c>
    </row>
    <row r="1432" spans="2:6" ht="11.25">
      <c r="B1432" s="44" t="s">
        <v>1481</v>
      </c>
      <c r="C1432" s="36"/>
      <c r="D1432" s="30"/>
      <c r="F1432" s="40">
        <v>25</v>
      </c>
    </row>
    <row r="1433" spans="2:6" ht="11.25">
      <c r="B1433" s="44" t="s">
        <v>1482</v>
      </c>
      <c r="C1433" s="36"/>
      <c r="D1433" s="30"/>
      <c r="F1433" s="40">
        <v>10</v>
      </c>
    </row>
    <row r="1434" spans="2:6" ht="11.25">
      <c r="B1434" s="44" t="s">
        <v>1483</v>
      </c>
      <c r="C1434" s="36"/>
      <c r="D1434" s="30"/>
      <c r="F1434" s="40">
        <v>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opLeftCell="A3" workbookViewId="0">
      <selection activeCell="I22" sqref="I22"/>
    </sheetView>
  </sheetViews>
  <sheetFormatPr baseColWidth="10" defaultRowHeight="15"/>
  <cols>
    <col min="1" max="1" width="16.140625" customWidth="1"/>
    <col min="2" max="2" width="15.5703125" customWidth="1"/>
    <col min="3" max="3" width="18.5703125" customWidth="1"/>
    <col min="4" max="4" width="15.28515625" customWidth="1"/>
    <col min="5" max="5" width="16.42578125" customWidth="1"/>
    <col min="6" max="6" width="16.5703125" customWidth="1"/>
    <col min="7" max="7" width="15.42578125" customWidth="1"/>
    <col min="10" max="11" width="13" bestFit="1" customWidth="1"/>
    <col min="12" max="12" width="13.140625" bestFit="1" customWidth="1"/>
  </cols>
  <sheetData>
    <row r="1" spans="1:12">
      <c r="A1" t="s">
        <v>1882</v>
      </c>
      <c r="B1" t="s">
        <v>1883</v>
      </c>
      <c r="C1" t="s">
        <v>1884</v>
      </c>
      <c r="D1" t="s">
        <v>1885</v>
      </c>
      <c r="E1" t="s">
        <v>1886</v>
      </c>
      <c r="F1" t="s">
        <v>1887</v>
      </c>
    </row>
    <row r="2" spans="1:12">
      <c r="A2" s="104" t="e">
        <f>#REF!</f>
        <v>#REF!</v>
      </c>
      <c r="B2" s="104" t="e">
        <f>#REF!</f>
        <v>#REF!</v>
      </c>
      <c r="C2" s="104" t="e">
        <f>#REF!</f>
        <v>#REF!</v>
      </c>
      <c r="D2" s="104" t="e">
        <f>#REF!</f>
        <v>#REF!</v>
      </c>
      <c r="E2" s="100" t="e">
        <f>#REF!</f>
        <v>#REF!</v>
      </c>
      <c r="F2" s="102" t="e">
        <f>$A$12</f>
        <v>#REF!</v>
      </c>
    </row>
    <row r="3" spans="1:12">
      <c r="A3" s="104" t="e">
        <f>#REF!+5000</f>
        <v>#REF!</v>
      </c>
      <c r="B3" s="104" t="e">
        <f>#REF!</f>
        <v>#REF!</v>
      </c>
      <c r="C3" s="104" t="e">
        <f>#REF!</f>
        <v>#REF!</v>
      </c>
      <c r="D3" s="104" t="e">
        <f>#REF!</f>
        <v>#REF!</v>
      </c>
      <c r="E3" s="104" t="e">
        <f>#REF!</f>
        <v>#REF!</v>
      </c>
      <c r="F3" s="100" t="e">
        <f>#REF!</f>
        <v>#REF!</v>
      </c>
    </row>
    <row r="4" spans="1:12">
      <c r="A4" s="104" t="e">
        <f>#REF!</f>
        <v>#REF!</v>
      </c>
      <c r="B4" s="104" t="e">
        <f>#REF!</f>
        <v>#REF!</v>
      </c>
      <c r="C4" s="105" t="e">
        <f>#REF!*0.5</f>
        <v>#REF!</v>
      </c>
      <c r="D4" s="104" t="e">
        <f>#REF!</f>
        <v>#REF!</v>
      </c>
      <c r="E4" s="100" t="e">
        <f>#REF!</f>
        <v>#REF!</v>
      </c>
      <c r="J4" s="98" t="e">
        <f>SUM(A4:A10)</f>
        <v>#REF!</v>
      </c>
      <c r="K4" s="98" t="e">
        <f>SUM(B2:B12)</f>
        <v>#REF!</v>
      </c>
      <c r="L4" s="99" t="e">
        <f>+J4+K4</f>
        <v>#REF!</v>
      </c>
    </row>
    <row r="5" spans="1:12">
      <c r="A5" s="104" t="e">
        <f>#REF!</f>
        <v>#REF!</v>
      </c>
      <c r="B5" s="104" t="e">
        <f>#REF!</f>
        <v>#REF!</v>
      </c>
      <c r="C5" s="104" t="e">
        <f>#REF!</f>
        <v>#REF!</v>
      </c>
      <c r="D5" s="105" t="e">
        <f>#REF!*0.5</f>
        <v>#REF!</v>
      </c>
      <c r="E5" s="100" t="e">
        <f>#REF!</f>
        <v>#REF!</v>
      </c>
      <c r="G5" s="99" t="e">
        <f>+C4+D5</f>
        <v>#REF!</v>
      </c>
      <c r="L5" s="103"/>
    </row>
    <row r="6" spans="1:12">
      <c r="A6" s="104" t="e">
        <f>#REF!</f>
        <v>#REF!</v>
      </c>
      <c r="B6" s="104" t="e">
        <f>#REF!</f>
        <v>#REF!</v>
      </c>
      <c r="C6" s="104" t="e">
        <f>#REF!</f>
        <v>#REF!</v>
      </c>
      <c r="D6" s="100" t="e">
        <f>#REF!</f>
        <v>#REF!</v>
      </c>
    </row>
    <row r="7" spans="1:12">
      <c r="A7" s="104" t="e">
        <f>#REF!</f>
        <v>#REF!</v>
      </c>
      <c r="B7" s="104" t="e">
        <f>#REF!</f>
        <v>#REF!</v>
      </c>
      <c r="C7" s="100" t="e">
        <f>#REF!</f>
        <v>#REF!</v>
      </c>
      <c r="D7" s="100" t="e">
        <f>$A$12</f>
        <v>#REF!</v>
      </c>
      <c r="E7" s="100" t="e">
        <f>$A$12</f>
        <v>#REF!</v>
      </c>
    </row>
    <row r="8" spans="1:12">
      <c r="A8" s="104" t="e">
        <f>#REF!</f>
        <v>#REF!</v>
      </c>
      <c r="B8" s="104" t="e">
        <f>#REF!</f>
        <v>#REF!</v>
      </c>
      <c r="C8" s="100" t="e">
        <f>$A$12</f>
        <v>#REF!</v>
      </c>
      <c r="D8" s="101" t="e">
        <f>#REF!*0.5</f>
        <v>#REF!</v>
      </c>
      <c r="E8" t="e">
        <f>#REF!</f>
        <v>#REF!</v>
      </c>
    </row>
    <row r="9" spans="1:12">
      <c r="A9" s="104" t="e">
        <f>#REF!</f>
        <v>#REF!</v>
      </c>
      <c r="B9" s="104" t="e">
        <f>#REF!</f>
        <v>#REF!</v>
      </c>
      <c r="C9" s="101" t="e">
        <f>#REF!*0.5</f>
        <v>#REF!</v>
      </c>
      <c r="D9" s="97"/>
      <c r="E9" s="97"/>
    </row>
    <row r="10" spans="1:12">
      <c r="A10" s="104" t="e">
        <f>#REF!</f>
        <v>#REF!</v>
      </c>
      <c r="B10" s="104" t="e">
        <f>#REF!</f>
        <v>#REF!</v>
      </c>
      <c r="C10" s="97"/>
      <c r="D10" s="97"/>
      <c r="E10" s="97"/>
    </row>
    <row r="11" spans="1:12">
      <c r="A11" s="104" t="e">
        <f>#REF!</f>
        <v>#REF!</v>
      </c>
      <c r="B11" s="104" t="e">
        <f>#REF!</f>
        <v>#REF!</v>
      </c>
      <c r="C11" s="97"/>
      <c r="D11" s="97"/>
      <c r="E11" s="97"/>
    </row>
    <row r="12" spans="1:12">
      <c r="A12" s="100" t="e">
        <f>#REF!/6</f>
        <v>#REF!</v>
      </c>
      <c r="B12" s="104" t="e">
        <f>#REF!</f>
        <v>#REF!</v>
      </c>
      <c r="C12" s="97"/>
      <c r="D12" s="97"/>
      <c r="E12" s="97"/>
    </row>
    <row r="13" spans="1:12">
      <c r="A13" s="97"/>
      <c r="B13" s="104" t="e">
        <f>#REF!</f>
        <v>#REF!</v>
      </c>
      <c r="C13" s="97"/>
      <c r="D13" s="97"/>
      <c r="E13" s="97"/>
    </row>
    <row r="14" spans="1:12">
      <c r="A14" s="97"/>
      <c r="B14" s="104" t="e">
        <f>#REF!</f>
        <v>#REF!</v>
      </c>
      <c r="C14" s="97"/>
      <c r="D14" s="97"/>
      <c r="E14" s="97"/>
    </row>
    <row r="15" spans="1:12">
      <c r="A15" s="97"/>
      <c r="B15" s="100" t="e">
        <f>$A$12</f>
        <v>#REF!</v>
      </c>
      <c r="C15" s="97"/>
      <c r="D15" s="97"/>
      <c r="E15" s="97"/>
    </row>
    <row r="16" spans="1:12">
      <c r="A16" s="97"/>
      <c r="B16" s="97"/>
      <c r="C16" s="97"/>
      <c r="D16" s="97"/>
      <c r="E16" s="97"/>
    </row>
    <row r="17" spans="1:12">
      <c r="A17" s="97"/>
      <c r="B17" s="97"/>
      <c r="C17" s="97"/>
      <c r="D17" s="97"/>
      <c r="E17" s="97"/>
    </row>
    <row r="18" spans="1:12">
      <c r="A18" s="97"/>
      <c r="B18" s="97"/>
      <c r="C18" s="97"/>
      <c r="D18" s="97"/>
      <c r="E18" s="97"/>
    </row>
    <row r="19" spans="1:12">
      <c r="A19" s="97" t="e">
        <f>SUM(A2:A18)</f>
        <v>#REF!</v>
      </c>
      <c r="B19" s="97" t="e">
        <f t="shared" ref="B19:F19" si="0">SUM(B2:B18)</f>
        <v>#REF!</v>
      </c>
      <c r="C19" s="97" t="e">
        <f t="shared" si="0"/>
        <v>#REF!</v>
      </c>
      <c r="D19" s="97" t="e">
        <f t="shared" si="0"/>
        <v>#REF!</v>
      </c>
      <c r="E19" s="97" t="e">
        <f t="shared" si="0"/>
        <v>#REF!</v>
      </c>
      <c r="F19" s="97" t="e">
        <f t="shared" si="0"/>
        <v>#REF!</v>
      </c>
      <c r="G19" s="98" t="e">
        <f>SUM(A19:F19)</f>
        <v>#REF!</v>
      </c>
      <c r="I19">
        <v>10265532.172363775</v>
      </c>
      <c r="J19" s="99" t="e">
        <f>+I19-G19</f>
        <v>#REF!</v>
      </c>
      <c r="K19">
        <v>3326032.4238458625</v>
      </c>
      <c r="L19">
        <f>+K19/I19</f>
        <v>0.32399999999999995</v>
      </c>
    </row>
    <row r="20" spans="1:12">
      <c r="A20" s="97" t="e">
        <f>+A19*1.324</f>
        <v>#REF!</v>
      </c>
      <c r="B20" s="97" t="e">
        <f t="shared" ref="B20:G20" si="1">+B19*1.324</f>
        <v>#REF!</v>
      </c>
      <c r="C20" s="97" t="e">
        <f t="shared" si="1"/>
        <v>#REF!</v>
      </c>
      <c r="D20" s="97" t="e">
        <f t="shared" si="1"/>
        <v>#REF!</v>
      </c>
      <c r="E20" s="97" t="e">
        <f t="shared" si="1"/>
        <v>#REF!</v>
      </c>
      <c r="F20" s="97" t="e">
        <f t="shared" si="1"/>
        <v>#REF!</v>
      </c>
      <c r="G20" s="98" t="e">
        <f t="shared" si="1"/>
        <v>#REF!</v>
      </c>
      <c r="J20" s="99"/>
    </row>
    <row r="21" spans="1:12">
      <c r="F21" s="97" t="e">
        <f>#REF!</f>
        <v>#REF!</v>
      </c>
    </row>
    <row r="22" spans="1:12">
      <c r="A22" s="98" t="e">
        <f>+A20+A21</f>
        <v>#REF!</v>
      </c>
      <c r="B22" s="98" t="e">
        <f t="shared" ref="B22:F22" si="2">+B20+B21</f>
        <v>#REF!</v>
      </c>
      <c r="C22" s="98" t="e">
        <f t="shared" si="2"/>
        <v>#REF!</v>
      </c>
      <c r="D22" s="98" t="e">
        <f t="shared" si="2"/>
        <v>#REF!</v>
      </c>
      <c r="E22" s="98" t="e">
        <f t="shared" si="2"/>
        <v>#REF!</v>
      </c>
      <c r="F22" s="98" t="e">
        <f t="shared" si="2"/>
        <v>#REF!</v>
      </c>
      <c r="G22" s="98" t="e">
        <f>SUM(A22:F22)</f>
        <v>#REF!</v>
      </c>
      <c r="I22" t="e">
        <f>+G22*0.2</f>
        <v>#REF!</v>
      </c>
    </row>
    <row r="23" spans="1:12">
      <c r="A23" t="e">
        <f>+A22*0.2</f>
        <v>#REF!</v>
      </c>
      <c r="B23" t="e">
        <f t="shared" ref="B23:F23" si="3">+B22*0.2</f>
        <v>#REF!</v>
      </c>
      <c r="C23" t="e">
        <f t="shared" si="3"/>
        <v>#REF!</v>
      </c>
      <c r="D23" t="e">
        <f t="shared" si="3"/>
        <v>#REF!</v>
      </c>
      <c r="E23" t="e">
        <f t="shared" si="3"/>
        <v>#REF!</v>
      </c>
      <c r="F23" t="e">
        <f t="shared" si="3"/>
        <v>#REF!</v>
      </c>
    </row>
    <row r="24" spans="1:12">
      <c r="A24" s="98" t="e">
        <f>+A22-A23</f>
        <v>#REF!</v>
      </c>
      <c r="B24" s="98" t="e">
        <f t="shared" ref="B24:F24" si="4">+B22-B23</f>
        <v>#REF!</v>
      </c>
      <c r="C24" s="98" t="e">
        <f t="shared" si="4"/>
        <v>#REF!</v>
      </c>
      <c r="D24" s="98" t="e">
        <f t="shared" si="4"/>
        <v>#REF!</v>
      </c>
      <c r="E24" s="98" t="e">
        <f t="shared" si="4"/>
        <v>#REF!</v>
      </c>
      <c r="F24" s="98" t="e">
        <f t="shared" si="4"/>
        <v>#REF!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funeraria sin mobiliario</vt:lpstr>
      <vt:lpstr>Analisis</vt:lpstr>
      <vt:lpstr>Analisis Auxiliares</vt:lpstr>
      <vt:lpstr>memoria</vt:lpstr>
      <vt:lpstr>Materiales</vt:lpstr>
      <vt:lpstr>DATOS FLUJO GRAMA</vt:lpstr>
      <vt:lpstr>Analisis!Área_de_impresión</vt:lpstr>
      <vt:lpstr>'funeraria sin mobiliario'!Área_de_impresión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Freddy Castillo</dc:creator>
  <cp:lastModifiedBy>Evelin Peña</cp:lastModifiedBy>
  <cp:lastPrinted>2022-05-25T19:01:01Z</cp:lastPrinted>
  <dcterms:created xsi:type="dcterms:W3CDTF">2021-11-12T20:45:03Z</dcterms:created>
  <dcterms:modified xsi:type="dcterms:W3CDTF">2022-07-13T16:18:11Z</dcterms:modified>
</cp:coreProperties>
</file>