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lin\Desktop\OAIM\"/>
    </mc:Choice>
  </mc:AlternateContent>
  <bookViews>
    <workbookView xWindow="0" yWindow="0" windowWidth="20490" windowHeight="7755"/>
  </bookViews>
  <sheets>
    <sheet name="ACT.01-06-2022 (2)" sheetId="10" r:id="rId1"/>
  </sheets>
  <externalReferences>
    <externalReference r:id="rId2"/>
  </externalReferences>
  <definedNames>
    <definedName name="_xlnm.Print_Area" localSheetId="0">'ACT.01-06-2022 (2)'!$B$1:$H$204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3" i="10" l="1"/>
  <c r="D163" i="10"/>
  <c r="B164" i="10"/>
  <c r="D167" i="10"/>
  <c r="B168" i="10"/>
  <c r="D168" i="10"/>
  <c r="B177" i="10"/>
  <c r="B178" i="10" s="1"/>
  <c r="B179" i="10" s="1"/>
  <c r="B180" i="10" s="1"/>
  <c r="B181" i="10" s="1"/>
  <c r="B182" i="10" s="1"/>
  <c r="B183" i="10" s="1"/>
  <c r="B184" i="10" s="1"/>
  <c r="B185" i="10" s="1"/>
  <c r="B171" i="10"/>
  <c r="J170" i="10"/>
  <c r="J171" i="10" s="1"/>
  <c r="D159" i="10"/>
  <c r="D157" i="10"/>
  <c r="D156" i="10"/>
  <c r="D158" i="10" s="1"/>
  <c r="D155" i="10"/>
  <c r="D154" i="10"/>
  <c r="D153" i="10"/>
  <c r="D152" i="10"/>
  <c r="D150" i="10"/>
  <c r="B150" i="10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D149" i="10"/>
  <c r="D144" i="10"/>
  <c r="D142" i="10"/>
  <c r="D140" i="10"/>
  <c r="D141" i="10" s="1"/>
  <c r="D143" i="10" s="1"/>
  <c r="D139" i="10"/>
  <c r="D138" i="10"/>
  <c r="D136" i="10"/>
  <c r="B136" i="10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D135" i="10"/>
  <c r="D130" i="10"/>
  <c r="D128" i="10"/>
  <c r="D126" i="10"/>
  <c r="D127" i="10" s="1"/>
  <c r="D129" i="10" s="1"/>
  <c r="D125" i="10"/>
  <c r="D124" i="10"/>
  <c r="D122" i="10"/>
  <c r="B122" i="10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I121" i="10"/>
  <c r="D121" i="10"/>
  <c r="D109" i="10"/>
  <c r="D108" i="10"/>
  <c r="I106" i="10"/>
  <c r="B106" i="10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92" i="10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A92" i="10"/>
  <c r="B84" i="10"/>
  <c r="B85" i="10" s="1"/>
  <c r="B86" i="10" s="1"/>
  <c r="B87" i="10" s="1"/>
  <c r="B88" i="10" s="1"/>
  <c r="B89" i="10" s="1"/>
  <c r="D80" i="10"/>
  <c r="D79" i="10"/>
  <c r="D78" i="10"/>
  <c r="B78" i="10"/>
  <c r="B79" i="10" s="1"/>
  <c r="B80" i="10" s="1"/>
  <c r="B81" i="10" s="1"/>
  <c r="D74" i="10"/>
  <c r="D75" i="10" s="1"/>
  <c r="B74" i="10"/>
  <c r="B75" i="10" s="1"/>
  <c r="D71" i="10"/>
  <c r="D70" i="10"/>
  <c r="D69" i="10" s="1"/>
  <c r="B69" i="10"/>
  <c r="B70" i="10" s="1"/>
  <c r="B71" i="10" s="1"/>
  <c r="B61" i="10"/>
  <c r="B62" i="10" s="1"/>
  <c r="B63" i="10" s="1"/>
  <c r="B64" i="10" s="1"/>
  <c r="B65" i="10" s="1"/>
  <c r="B66" i="10" s="1"/>
  <c r="B56" i="10"/>
  <c r="B57" i="10" s="1"/>
  <c r="B58" i="10" s="1"/>
  <c r="B50" i="10"/>
  <c r="B51" i="10" s="1"/>
  <c r="B52" i="10" s="1"/>
  <c r="B53" i="10" s="1"/>
  <c r="B46" i="10"/>
  <c r="B47" i="10" s="1"/>
  <c r="B28" i="10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A25" i="10"/>
  <c r="D24" i="10"/>
  <c r="A24" i="10"/>
  <c r="D23" i="10"/>
  <c r="A23" i="10"/>
  <c r="D22" i="10"/>
  <c r="A22" i="10"/>
  <c r="D21" i="10"/>
  <c r="A21" i="10"/>
  <c r="A20" i="10"/>
  <c r="B19" i="10"/>
  <c r="B20" i="10" s="1"/>
  <c r="B21" i="10" s="1"/>
  <c r="B22" i="10" s="1"/>
  <c r="B23" i="10" s="1"/>
  <c r="B24" i="10" s="1"/>
  <c r="B25" i="10" s="1"/>
  <c r="A19" i="10"/>
  <c r="I16" i="10"/>
  <c r="D16" i="10"/>
  <c r="B14" i="10"/>
  <c r="B15" i="10" s="1"/>
  <c r="B16" i="10" s="1"/>
  <c r="A14" i="10"/>
  <c r="D123" i="10" l="1"/>
  <c r="D25" i="10"/>
  <c r="D137" i="10"/>
  <c r="D160" i="10"/>
  <c r="D151" i="10"/>
  <c r="H174" i="10" l="1"/>
  <c r="G183" i="10" l="1"/>
  <c r="I175" i="10"/>
  <c r="G184" i="10"/>
  <c r="G177" i="10"/>
  <c r="G181" i="10"/>
  <c r="G182" i="10"/>
  <c r="G180" i="10"/>
  <c r="G185" i="10" s="1"/>
  <c r="G179" i="10"/>
  <c r="G178" i="10"/>
  <c r="H177" i="10" l="1"/>
  <c r="H188" i="10" s="1"/>
</calcChain>
</file>

<file path=xl/sharedStrings.xml><?xml version="1.0" encoding="utf-8"?>
<sst xmlns="http://schemas.openxmlformats.org/spreadsheetml/2006/main" count="317" uniqueCount="176">
  <si>
    <t>NO.</t>
  </si>
  <si>
    <t>DETALLE</t>
  </si>
  <si>
    <t>CANT.</t>
  </si>
  <si>
    <t>UNID.</t>
  </si>
  <si>
    <t>P.U.</t>
  </si>
  <si>
    <t>SUB-TOTAL</t>
  </si>
  <si>
    <t>TOTAL</t>
  </si>
  <si>
    <t>ML</t>
  </si>
  <si>
    <t>M3</t>
  </si>
  <si>
    <t>GASTOS INDIRECTOS</t>
  </si>
  <si>
    <t>M2</t>
  </si>
  <si>
    <t>UND</t>
  </si>
  <si>
    <t>M3E</t>
  </si>
  <si>
    <t>M3C</t>
  </si>
  <si>
    <t>Relleno de reposición en zapata de columnas, cc=30%</t>
  </si>
  <si>
    <t xml:space="preserve">Relleno de reposición en zapata de muro, cc=30% </t>
  </si>
  <si>
    <t>Bote de material producto de excavación , e=25%</t>
  </si>
  <si>
    <t>HORMIGON ARMADO</t>
  </si>
  <si>
    <t xml:space="preserve">Muro de block 6", acero Ø3/8@0.40m, BNP </t>
  </si>
  <si>
    <t>TERMINACION DE SUPERFICIE</t>
  </si>
  <si>
    <t>Fraguache en elementos de HA</t>
  </si>
  <si>
    <t>P2</t>
  </si>
  <si>
    <t>PINTURA</t>
  </si>
  <si>
    <t>Pintura acrílica superior interior y exterior en muro</t>
  </si>
  <si>
    <t xml:space="preserve">Pintura acrílica superior en techo </t>
  </si>
  <si>
    <t>PA</t>
  </si>
  <si>
    <t xml:space="preserve">Zapatas de HA para columnas Z1(1.40x1.40x0.35)m, f'c=210kg/cm2, acero Ø1/2"@0.09m A.D </t>
  </si>
  <si>
    <t>Zapatas de HA para columnas Z2(1.40x1.40x0.35)m, f'c=210kg/cm2, acero Ø1/2"@0.09m A.D y doblemente armada</t>
  </si>
  <si>
    <t xml:space="preserve">Zapatas de HA para columnas Z3(1.10x1.10x0.30)m, f'c=210kg/cm2, acero Ø1/2"@0.15m A.D </t>
  </si>
  <si>
    <t xml:space="preserve">Columnas de HA C1(0.40x0.25)mts, f'c=210kg/cm2, acero 10Ø1/2" y 2Ø3/8", est. doble Ø3/8"@0.20m </t>
  </si>
  <si>
    <t xml:space="preserve">Columnas de HA C2(0.40x0.25)mts, f'c=210kg/cm2, acero 8Ø1/2" y 4Ø3/4", est. doble Ø3/8"@0.20m </t>
  </si>
  <si>
    <t xml:space="preserve">Columnas de HA C3(0.25x0.25)mts, f'c=210kg/cm2, acero 8Ø1/2", est. doble Ø3/8"@0.20m </t>
  </si>
  <si>
    <t xml:space="preserve">Vigas V1-T en HA (0.20x0.40)mts, f'c=210kg/cm2, acero 5Ø1/2" est. Ø3/8"@0.20m y 2Ø1/2" adicional en apoyos </t>
  </si>
  <si>
    <t xml:space="preserve">Vigas de amarre en HA (0.20x0.35)mts, f'c=210kg/cm2, acero 5Ø1/2" est. Ø3/8"@0.23m y 2Ø1/2" adicional en apoyos </t>
  </si>
  <si>
    <t xml:space="preserve">Vigas Dintel en HA (0.20x0.35)mts, f'c=210kg/cm2, acero 5Ø1/2" est. Ø3/8"@0.23m y 2Ø3/8" adicional en apoyos </t>
  </si>
  <si>
    <t>Dintel en HA (0.15x0.20)mts, f'c=210kg/cm2, acero 5Ø3/8" est. Ø3/8"@0.23m</t>
  </si>
  <si>
    <t>Losa de techo en HA e=0.12m, f'c=210kg/cm2, acero Ø3/8"@0.22m y adicionales Ø3/8"Ø0.35m</t>
  </si>
  <si>
    <t>Losa de piso en HA e=0.10m, f'c=210kg/cm2, incluye malla electrosoldada</t>
  </si>
  <si>
    <t xml:space="preserve">Excavación para zapatas de columnas </t>
  </si>
  <si>
    <t>Excavación para zapata de muro</t>
  </si>
  <si>
    <t xml:space="preserve">Muro de block 6", acero Ø3/8@0.0.60m, SNP </t>
  </si>
  <si>
    <t xml:space="preserve">Relleno de Material Clasificado (Caliche) para piso, Regado, Nivelado y Compactado e=0.20m </t>
  </si>
  <si>
    <t>Fino de techo plano</t>
  </si>
  <si>
    <t>Paneles de breakers 24 circuitos</t>
  </si>
  <si>
    <t>Alimentación eléctrica general</t>
  </si>
  <si>
    <t xml:space="preserve">CUPULA DE LA IGLESIA </t>
  </si>
  <si>
    <t>Corte y desbroce de capa vegetal</t>
  </si>
  <si>
    <t xml:space="preserve">Relleno de Material Clasificado (Caliche) para piso, Regado, Nivelado y Compactado e=0.40m </t>
  </si>
  <si>
    <t>Vigas de Portico "P" en HA (0.20x0.35)mts, f'c=210kg/cm2, acero 3Ø1/2" y 2Ø3/4" est. Ø3/8"@0.20m y 2Ø1/2" adicional en apoyos</t>
  </si>
  <si>
    <t xml:space="preserve">Pañete general en muro interiores, exteriores y techos </t>
  </si>
  <si>
    <t xml:space="preserve">Cantos </t>
  </si>
  <si>
    <t>S/C: Ventana corredera aluminio y vidrio Perfil P92</t>
  </si>
  <si>
    <t xml:space="preserve">S/C: Puerta Polimetal blanca Tipo Everdoor (0.77x2.10)m </t>
  </si>
  <si>
    <t xml:space="preserve">S/C: Puerta Polimetal blanca Tipo Everdoor (0.85x2.10)m </t>
  </si>
  <si>
    <t xml:space="preserve">S/C: Puerta Polimetal blanca Tipo Everdoor (0.90x2.10)m </t>
  </si>
  <si>
    <t xml:space="preserve">S/C: Puerta Polimetal doble color caoba (1.10x2.10)m, para entrada principal  </t>
  </si>
  <si>
    <t>S/C: Porcelanato romano en piso general</t>
  </si>
  <si>
    <t xml:space="preserve">S/C: Zocalos en Porcelanato romano </t>
  </si>
  <si>
    <t xml:space="preserve">Pintura de mantenimiento anticorrosiva en herreria de protección para ventanas y puertas </t>
  </si>
  <si>
    <t>S/C: Inodoro para baños, incluye salidas nueva</t>
  </si>
  <si>
    <t xml:space="preserve">S/C: Lavamanos con pedestal, incluye mezcladora y salidas nueva </t>
  </si>
  <si>
    <t>Perfiles en hierro 4"x4"</t>
  </si>
  <si>
    <t>Perfiles en hierro 2"x2"</t>
  </si>
  <si>
    <t xml:space="preserve">Mano de obra para conformación de techo Octogonal, incluye suministro y colocación de piezas menores </t>
  </si>
  <si>
    <t>Desagues de piso en acero inoxidable (baños), inlcuye rejilla</t>
  </si>
  <si>
    <t xml:space="preserve">Red de alimentación sanitaria y drenaje pluvial </t>
  </si>
  <si>
    <t xml:space="preserve">Pañete en muros nuevos </t>
  </si>
  <si>
    <t>Confección de cantos en muros nuevos</t>
  </si>
  <si>
    <t>Pintura acrílica superior interior y techo</t>
  </si>
  <si>
    <t xml:space="preserve">Suministro de tierra negra y grama </t>
  </si>
  <si>
    <t>Excavación para zapata de muro (0.45x0.45)mts, L=6.86m</t>
  </si>
  <si>
    <t xml:space="preserve">H.A. Zapata de Muro de 6" (6.86x0.45x0.20)mts con 3Ø3/8" +Ø3/8"@0.20mts </t>
  </si>
  <si>
    <t xml:space="preserve">Muro de block industrial 6", acero Ø3/8@0.40m, BNP </t>
  </si>
  <si>
    <t xml:space="preserve">Muro de block industrial 6", acero Ø3/8@0.40m, SNP </t>
  </si>
  <si>
    <t>Acera peatonal en Hormigón e=0.10m, Hormigón 210kg/cm2, (47.83x1.00x0.10)m</t>
  </si>
  <si>
    <t>Suministro y colocación de Coralillo Rojo</t>
  </si>
  <si>
    <t>Suministro y colocación de Trinitarias</t>
  </si>
  <si>
    <t xml:space="preserve">Luminaria de techos, incluye salida </t>
  </si>
  <si>
    <t xml:space="preserve">Lampara fluorescente, incluye salida </t>
  </si>
  <si>
    <t>Abanicos de techo, incluye salida</t>
  </si>
  <si>
    <t xml:space="preserve">Abanicos de techo con lámparas, incluye salida </t>
  </si>
  <si>
    <t xml:space="preserve">Interruptor para abanicos, incluye salida </t>
  </si>
  <si>
    <t xml:space="preserve">Interruptor doble, incluye salida </t>
  </si>
  <si>
    <t xml:space="preserve">Interruptor simple, incluye salida </t>
  </si>
  <si>
    <t xml:space="preserve">Luminaria empotrada de techo, incluye salida  </t>
  </si>
  <si>
    <t xml:space="preserve">Salida de telefono </t>
  </si>
  <si>
    <t xml:space="preserve">Toma corriente doble, incluye salida </t>
  </si>
  <si>
    <t xml:space="preserve">LIMPIEZA FINAL </t>
  </si>
  <si>
    <t>S/C: Herreria en puertas y ventanas con barras de 5/8"</t>
  </si>
  <si>
    <t xml:space="preserve">S/C: Aluzinc en techo octogonal, incluye tornillos </t>
  </si>
  <si>
    <t xml:space="preserve">Relieve en pañete y terminación violinada en columnas de la entrada, ventanas y cúpula </t>
  </si>
  <si>
    <t>Cerámica en paredes baños, alt = 1.80m</t>
  </si>
  <si>
    <t>Escalones en hormigón para subir a la sacristia (1.00*0.30*0.17)m, Hormigón 210kg/cm2</t>
  </si>
  <si>
    <t xml:space="preserve">PRELIMINARES </t>
  </si>
  <si>
    <t xml:space="preserve"> </t>
  </si>
  <si>
    <t xml:space="preserve">MOVIMIENTO DE TIERRA </t>
  </si>
  <si>
    <t xml:space="preserve">PUERTAS Y VENTANAS </t>
  </si>
  <si>
    <t xml:space="preserve">TERMINACION DE TECHO </t>
  </si>
  <si>
    <t xml:space="preserve">INSTALACIONES SANITARIAS </t>
  </si>
  <si>
    <t xml:space="preserve">INSTALACIONES ELECTRICAS </t>
  </si>
  <si>
    <t xml:space="preserve">Limpieza Continua y Final </t>
  </si>
  <si>
    <t>P.A</t>
  </si>
  <si>
    <t xml:space="preserve">Sub-Total RD$ </t>
  </si>
  <si>
    <t xml:space="preserve">Seguros y Fianzas </t>
  </si>
  <si>
    <t xml:space="preserve">Gastos Administrativos </t>
  </si>
  <si>
    <t xml:space="preserve">Transporte </t>
  </si>
  <si>
    <t>Dirección Técnica</t>
  </si>
  <si>
    <t xml:space="preserve">Supervisión </t>
  </si>
  <si>
    <t xml:space="preserve">Ley 686  </t>
  </si>
  <si>
    <t xml:space="preserve">Codia </t>
  </si>
  <si>
    <t xml:space="preserve">Imprevisto </t>
  </si>
  <si>
    <t>TOTAL GENERAL  RD$</t>
  </si>
  <si>
    <t xml:space="preserve"> Revisado por:</t>
  </si>
  <si>
    <t>Aprobado por:</t>
  </si>
  <si>
    <t>Director Obras Publicas Municipales</t>
  </si>
  <si>
    <t>Bote de Material producto de corte y desbroce de capa vegetal e=25%</t>
  </si>
  <si>
    <t xml:space="preserve">BLOQUES DE HORMIGON </t>
  </si>
  <si>
    <t>REVESTIMIENTO Y PISOS</t>
  </si>
  <si>
    <t>CONSTRUCCION DE JARDINERIA (2 UND)</t>
  </si>
  <si>
    <t>A</t>
  </si>
  <si>
    <t xml:space="preserve">AREA EXTERIOR </t>
  </si>
  <si>
    <t>CONSTRUCCION DE JARDINERIA FRENTE A LA IGLESIA (2 UND)</t>
  </si>
  <si>
    <t>Excavación para zapata de muro (0.45x0.45)mts, L=18.78m</t>
  </si>
  <si>
    <t xml:space="preserve">H.A. Zapata de Muro de 6" (18.78x0.45x0.20)mts con 3Ø3/8" +Ø3/8"@0.20mts </t>
  </si>
  <si>
    <t>Pintura acrílica superior general</t>
  </si>
  <si>
    <t>B</t>
  </si>
  <si>
    <t>Excavación para zapata de muro (0.45x0.45)mts, L=26.10m</t>
  </si>
  <si>
    <t>CONSTRUCCION DE JARDINERIA LATERAL, L=26.10M</t>
  </si>
  <si>
    <t xml:space="preserve">H.A. Zapata de Muro de 6" (26.10x0.45x0.20)mts con 3Ø3/8" +Ø3/8"@0.20mts </t>
  </si>
  <si>
    <t>C</t>
  </si>
  <si>
    <t xml:space="preserve">PISO DE HORMIGON PULIDO (L=4.02mts; Ancho Promedio=3.70mts) </t>
  </si>
  <si>
    <t>Relleno de Material Clasificado (Caliche) debajo de Acera, Regado, Nivelado y Compactado e=0.10mts</t>
  </si>
  <si>
    <t>Piso de hormigón pulido e=0.10m, Hormigón 210kg/cm2, incluye malla electrosoldada D2.3 10x10 (4.02x3.70x0.10)mts</t>
  </si>
  <si>
    <t>D</t>
  </si>
  <si>
    <t>E</t>
  </si>
  <si>
    <t>CONSTRUCCION DE MURO PERIMETRAL,  L=97.31M; ALT=2.40M</t>
  </si>
  <si>
    <t>Excavación para zapata de muro (0.45x0.65)mts, L=97.31m</t>
  </si>
  <si>
    <t xml:space="preserve">H.A. Zapata de Muro de 6" (97.31x0.45x0.25)mts con 3Ø3/8" +Ø3/8"@0.20mts </t>
  </si>
  <si>
    <t xml:space="preserve">Columna de amarre en H.A. (0.15x0.20)mts con acero 4Ø3/8" +Ø3/8"@0.20mts </t>
  </si>
  <si>
    <t xml:space="preserve">Viga de amarre en H.A. (0.15x0.20)mts con acero 4Ø3/8" +Ø3/8"@0.20mts </t>
  </si>
  <si>
    <t>Fraguache en elementos de H.A.</t>
  </si>
  <si>
    <t>PRESUPUESTO No.</t>
  </si>
  <si>
    <t>CIRCUNSCRIPCIÓN:</t>
  </si>
  <si>
    <t>MUNICIPIO:</t>
  </si>
  <si>
    <t>SANTO DOMINGO NORTE</t>
  </si>
  <si>
    <t>ZONA RURAL</t>
  </si>
  <si>
    <t>Itbis (De los trabajos cotizados)</t>
  </si>
  <si>
    <t>UD</t>
  </si>
  <si>
    <t>.</t>
  </si>
  <si>
    <t xml:space="preserve">Zapatas de HA para muros(0.25X0.45)mts, f'c=210kg/cm2, acero 5Ø3/8" y  Ø3/8@0.20m </t>
  </si>
  <si>
    <t>Replanteo y charrancha</t>
  </si>
  <si>
    <t>CAT-012</t>
  </si>
  <si>
    <t>FUN-045</t>
  </si>
  <si>
    <t>VENT/C005</t>
  </si>
  <si>
    <t>METAL040</t>
  </si>
  <si>
    <t>METAL041</t>
  </si>
  <si>
    <t>DESCRIPCIÓN DE LOS TRABAJOS:</t>
  </si>
  <si>
    <t>FECHA DE ELABORACIÓN:</t>
  </si>
  <si>
    <t xml:space="preserve">CONSTRUCCIÓN DE LA CAPILLA "SAN IGNACIO" LOS CASABES </t>
  </si>
  <si>
    <t xml:space="preserve">Filtrante de 8" Encamizado en Tubo de 6" PVC </t>
  </si>
  <si>
    <t>JAR0022</t>
  </si>
  <si>
    <t>JAR0013</t>
  </si>
  <si>
    <t>JAR0020</t>
  </si>
  <si>
    <t>S/C: Impermeabilizante en lona asfáltica 5mm</t>
  </si>
  <si>
    <t>IMPERM002</t>
  </si>
  <si>
    <r>
      <rPr>
        <b/>
        <u/>
        <sz val="14"/>
        <color theme="1"/>
        <rFont val="Times New Roman"/>
        <family val="1"/>
      </rPr>
      <t>ING. CRESENCIO PAREDES POLANCO</t>
    </r>
    <r>
      <rPr>
        <b/>
        <sz val="14"/>
        <color theme="1"/>
        <rFont val="Times New Roman"/>
        <family val="1"/>
      </rPr>
      <t xml:space="preserve"> </t>
    </r>
  </si>
  <si>
    <t>%</t>
  </si>
  <si>
    <t>Càmara Sèptca 1.70x3.40x1.70m Caliche</t>
  </si>
  <si>
    <t>ING.PATRIA PEGUERO</t>
  </si>
  <si>
    <t xml:space="preserve">                      Preparado por:                                                                                                              </t>
  </si>
  <si>
    <t xml:space="preserve">                  Unidad de Presupuesto                                          </t>
  </si>
  <si>
    <r>
      <t xml:space="preserve">         </t>
    </r>
    <r>
      <rPr>
        <b/>
        <u/>
        <sz val="14"/>
        <color theme="1"/>
        <rFont val="Times New Roman"/>
        <family val="1"/>
      </rPr>
      <t xml:space="preserve">ING.YASMÌN COMAS AMADOR </t>
    </r>
  </si>
  <si>
    <t xml:space="preserve">          Enc.  Unidad de Presupuestos                </t>
  </si>
  <si>
    <r>
      <t xml:space="preserve">                                                                                                      DIRECCIÓN:</t>
    </r>
    <r>
      <rPr>
        <sz val="14"/>
        <rFont val="Times New Roman"/>
        <family val="1"/>
      </rPr>
      <t xml:space="preserve"> LOS CASABES </t>
    </r>
  </si>
  <si>
    <t>CONSTRUCCION DE ACERA ESTAMPADA (AREA=26.11M2)</t>
  </si>
  <si>
    <t>Acera en Hormigón violinada con ligadora  e=0.10m, Hormigón 210kg/cm2, incluye malla electrosoldada D2.3 10x10 (26.11m²)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</si>
</sst>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0.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6"/>
      <name val="Times New Roman"/>
      <family val="1"/>
    </font>
    <font>
      <b/>
      <i/>
      <sz val="14"/>
      <name val="Times New Roman"/>
      <family val="1"/>
    </font>
    <font>
      <sz val="10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4" tint="-0.249977111117893"/>
      <name val="Times New Roman"/>
      <family val="1"/>
    </font>
    <font>
      <b/>
      <sz val="10"/>
      <color theme="1"/>
      <name val="Arial"/>
      <family val="2"/>
    </font>
    <font>
      <sz val="18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1" xfId="0" applyBorder="1"/>
    <xf numFmtId="167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165" fontId="8" fillId="0" borderId="0" xfId="5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165" fontId="9" fillId="0" borderId="0" xfId="5" applyFont="1" applyFill="1" applyBorder="1" applyAlignment="1">
      <alignment horizontal="right" vertical="center"/>
    </xf>
    <xf numFmtId="165" fontId="3" fillId="0" borderId="9" xfId="5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0" fontId="9" fillId="0" borderId="0" xfId="5" applyNumberFormat="1" applyFont="1" applyFill="1" applyBorder="1" applyAlignment="1">
      <alignment horizontal="center" vertical="center"/>
    </xf>
    <xf numFmtId="165" fontId="6" fillId="0" borderId="0" xfId="5" applyFont="1" applyFill="1" applyBorder="1" applyAlignment="1">
      <alignment horizontal="right" vertical="center"/>
    </xf>
    <xf numFmtId="165" fontId="6" fillId="0" borderId="9" xfId="5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5" fontId="3" fillId="0" borderId="0" xfId="5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64" fontId="10" fillId="0" borderId="9" xfId="0" applyNumberFormat="1" applyFont="1" applyBorder="1" applyAlignment="1">
      <alignment horizontal="center"/>
    </xf>
    <xf numFmtId="0" fontId="11" fillId="0" borderId="0" xfId="0" applyFont="1" applyFill="1" applyBorder="1"/>
    <xf numFmtId="0" fontId="11" fillId="0" borderId="9" xfId="0" applyFont="1" applyFill="1" applyBorder="1"/>
    <xf numFmtId="0" fontId="4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9" xfId="0" applyFont="1" applyBorder="1"/>
    <xf numFmtId="0" fontId="4" fillId="0" borderId="2" xfId="0" applyFont="1" applyBorder="1"/>
    <xf numFmtId="0" fontId="4" fillId="0" borderId="0" xfId="0" applyFont="1" applyAlignment="1">
      <alignment vertical="center"/>
    </xf>
    <xf numFmtId="0" fontId="3" fillId="3" borderId="0" xfId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 wrapText="1"/>
    </xf>
    <xf numFmtId="0" fontId="3" fillId="3" borderId="0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vertical="center"/>
    </xf>
    <xf numFmtId="2" fontId="4" fillId="0" borderId="0" xfId="0" applyNumberFormat="1" applyFont="1" applyFill="1"/>
    <xf numFmtId="0" fontId="4" fillId="0" borderId="0" xfId="0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0" fontId="14" fillId="6" borderId="18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12" xfId="0" applyFont="1" applyBorder="1" applyAlignment="1">
      <alignment vertical="center"/>
    </xf>
    <xf numFmtId="0" fontId="4" fillId="0" borderId="12" xfId="0" applyFont="1" applyBorder="1"/>
    <xf numFmtId="0" fontId="4" fillId="0" borderId="13" xfId="0" applyFont="1" applyBorder="1"/>
    <xf numFmtId="0" fontId="9" fillId="3" borderId="13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15" fillId="0" borderId="17" xfId="0" applyNumberFormat="1" applyFont="1" applyFill="1" applyBorder="1" applyAlignment="1">
      <alignment horizontal="right" vertical="center"/>
    </xf>
    <xf numFmtId="4" fontId="15" fillId="0" borderId="8" xfId="0" applyNumberFormat="1" applyFont="1" applyFill="1" applyBorder="1" applyAlignment="1">
      <alignment horizontal="right" vertical="center"/>
    </xf>
    <xf numFmtId="4" fontId="3" fillId="0" borderId="9" xfId="0" applyNumberFormat="1" applyFont="1" applyFill="1" applyBorder="1" applyAlignment="1">
      <alignment horizontal="right" vertical="center"/>
    </xf>
    <xf numFmtId="0" fontId="18" fillId="0" borderId="0" xfId="0" applyFont="1" applyBorder="1"/>
    <xf numFmtId="4" fontId="3" fillId="4" borderId="6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4" fontId="3" fillId="0" borderId="23" xfId="0" applyNumberFormat="1" applyFont="1" applyFill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/>
    </xf>
    <xf numFmtId="4" fontId="3" fillId="0" borderId="14" xfId="0" applyNumberFormat="1" applyFont="1" applyFill="1" applyBorder="1" applyAlignment="1">
      <alignment horizontal="right" vertical="center"/>
    </xf>
    <xf numFmtId="0" fontId="18" fillId="0" borderId="0" xfId="0" applyFont="1" applyFill="1" applyBorder="1"/>
    <xf numFmtId="0" fontId="3" fillId="4" borderId="13" xfId="0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166" fontId="16" fillId="5" borderId="15" xfId="0" applyNumberFormat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4" fontId="16" fillId="4" borderId="4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/>
    </xf>
    <xf numFmtId="4" fontId="15" fillId="0" borderId="16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4" fontId="15" fillId="0" borderId="7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4" fontId="17" fillId="4" borderId="4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/>
    </xf>
    <xf numFmtId="4" fontId="15" fillId="0" borderId="20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center" wrapText="1"/>
    </xf>
    <xf numFmtId="4" fontId="15" fillId="0" borderId="25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15" fillId="2" borderId="17" xfId="0" applyFont="1" applyFill="1" applyBorder="1" applyAlignment="1">
      <alignment horizontal="left" vertical="center" wrapText="1"/>
    </xf>
    <xf numFmtId="4" fontId="17" fillId="4" borderId="15" xfId="0" applyNumberFormat="1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left" vertical="center"/>
    </xf>
    <xf numFmtId="4" fontId="17" fillId="2" borderId="4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4" fontId="16" fillId="4" borderId="6" xfId="0" applyNumberFormat="1" applyFont="1" applyFill="1" applyBorder="1" applyAlignment="1">
      <alignment horizontal="right" vertical="center"/>
    </xf>
    <xf numFmtId="4" fontId="15" fillId="4" borderId="6" xfId="0" applyNumberFormat="1" applyFont="1" applyFill="1" applyBorder="1" applyAlignment="1">
      <alignment horizontal="right" vertical="center"/>
    </xf>
    <xf numFmtId="164" fontId="15" fillId="0" borderId="7" xfId="7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2" fontId="15" fillId="0" borderId="8" xfId="0" applyNumberFormat="1" applyFont="1" applyFill="1" applyBorder="1" applyAlignment="1">
      <alignment horizontal="center" vertical="center"/>
    </xf>
    <xf numFmtId="10" fontId="15" fillId="0" borderId="8" xfId="0" applyNumberFormat="1" applyFont="1" applyFill="1" applyBorder="1" applyAlignment="1">
      <alignment horizontal="center" vertical="center"/>
    </xf>
    <xf numFmtId="164" fontId="15" fillId="0" borderId="2" xfId="7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4" fontId="16" fillId="0" borderId="3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vertical="center"/>
    </xf>
    <xf numFmtId="4" fontId="16" fillId="5" borderId="6" xfId="0" applyNumberFormat="1" applyFont="1" applyFill="1" applyBorder="1" applyAlignment="1">
      <alignment horizontal="right" vertical="center"/>
    </xf>
    <xf numFmtId="0" fontId="18" fillId="0" borderId="1" xfId="0" applyFont="1" applyFill="1" applyBorder="1"/>
    <xf numFmtId="0" fontId="18" fillId="0" borderId="0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4" fontId="18" fillId="0" borderId="9" xfId="0" applyNumberFormat="1" applyFont="1" applyFill="1" applyBorder="1" applyAlignment="1">
      <alignment horizontal="right" vertical="center"/>
    </xf>
    <xf numFmtId="0" fontId="18" fillId="0" borderId="9" xfId="0" applyFont="1" applyFill="1" applyBorder="1"/>
    <xf numFmtId="0" fontId="20" fillId="0" borderId="0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right" vertical="center"/>
    </xf>
    <xf numFmtId="0" fontId="18" fillId="0" borderId="0" xfId="0" applyFont="1" applyFill="1"/>
    <xf numFmtId="0" fontId="15" fillId="2" borderId="8" xfId="0" applyFont="1" applyFill="1" applyBorder="1" applyAlignment="1">
      <alignment horizontal="left" wrapText="1"/>
    </xf>
    <xf numFmtId="164" fontId="15" fillId="0" borderId="16" xfId="7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vertical="center"/>
    </xf>
    <xf numFmtId="2" fontId="15" fillId="0" borderId="17" xfId="0" applyNumberFormat="1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164" fontId="16" fillId="4" borderId="4" xfId="7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4" fontId="15" fillId="4" borderId="5" xfId="0" applyNumberFormat="1" applyFont="1" applyFill="1" applyBorder="1" applyAlignment="1">
      <alignment horizontal="right" vertical="center"/>
    </xf>
    <xf numFmtId="4" fontId="15" fillId="4" borderId="5" xfId="0" applyNumberFormat="1" applyFont="1" applyFill="1" applyBorder="1" applyAlignment="1">
      <alignment vertical="center"/>
    </xf>
    <xf numFmtId="0" fontId="3" fillId="4" borderId="9" xfId="0" applyFont="1" applyFill="1" applyBorder="1" applyAlignment="1">
      <alignment horizontal="right" vertical="center"/>
    </xf>
    <xf numFmtId="4" fontId="3" fillId="4" borderId="9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left" vertical="center"/>
    </xf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11" xfId="0" applyBorder="1"/>
    <xf numFmtId="0" fontId="3" fillId="3" borderId="1" xfId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right" vertical="center"/>
    </xf>
    <xf numFmtId="0" fontId="22" fillId="0" borderId="0" xfId="0" applyFont="1" applyBorder="1"/>
    <xf numFmtId="2" fontId="22" fillId="0" borderId="0" xfId="0" applyNumberFormat="1" applyFont="1" applyBorder="1"/>
    <xf numFmtId="0" fontId="22" fillId="4" borderId="5" xfId="0" applyFont="1" applyFill="1" applyBorder="1"/>
    <xf numFmtId="0" fontId="17" fillId="4" borderId="5" xfId="0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right" vertical="center"/>
    </xf>
    <xf numFmtId="4" fontId="5" fillId="0" borderId="2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4" fontId="5" fillId="0" borderId="19" xfId="0" applyNumberFormat="1" applyFont="1" applyFill="1" applyBorder="1" applyAlignment="1">
      <alignment horizontal="center" vertical="center"/>
    </xf>
    <xf numFmtId="4" fontId="5" fillId="0" borderId="28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0" fontId="22" fillId="0" borderId="3" xfId="0" applyFont="1" applyBorder="1"/>
    <xf numFmtId="4" fontId="5" fillId="2" borderId="8" xfId="0" applyNumberFormat="1" applyFont="1" applyFill="1" applyBorder="1" applyAlignment="1">
      <alignment horizontal="right" vertical="center"/>
    </xf>
    <xf numFmtId="9" fontId="5" fillId="0" borderId="8" xfId="8" applyFont="1" applyFill="1" applyBorder="1" applyAlignment="1">
      <alignment horizontal="center" vertical="center"/>
    </xf>
    <xf numFmtId="0" fontId="22" fillId="0" borderId="0" xfId="0" applyFont="1" applyFill="1" applyBorder="1"/>
    <xf numFmtId="0" fontId="17" fillId="4" borderId="1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" fontId="15" fillId="0" borderId="26" xfId="0" applyNumberFormat="1" applyFont="1" applyFill="1" applyBorder="1" applyAlignment="1">
      <alignment horizontal="right" vertical="center"/>
    </xf>
    <xf numFmtId="4" fontId="15" fillId="0" borderId="18" xfId="0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29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2" fontId="16" fillId="4" borderId="4" xfId="0" applyNumberFormat="1" applyFont="1" applyFill="1" applyBorder="1" applyAlignment="1">
      <alignment horizontal="right" vertical="center"/>
    </xf>
    <xf numFmtId="2" fontId="16" fillId="4" borderId="5" xfId="0" applyNumberFormat="1" applyFont="1" applyFill="1" applyBorder="1" applyAlignment="1">
      <alignment horizontal="right" vertical="center"/>
    </xf>
    <xf numFmtId="4" fontId="16" fillId="0" borderId="23" xfId="0" applyNumberFormat="1" applyFont="1" applyFill="1" applyBorder="1" applyAlignment="1">
      <alignment horizontal="center"/>
    </xf>
    <xf numFmtId="4" fontId="16" fillId="0" borderId="24" xfId="0" applyNumberFormat="1" applyFont="1" applyFill="1" applyBorder="1" applyAlignment="1">
      <alignment horizontal="center"/>
    </xf>
    <xf numFmtId="4" fontId="16" fillId="0" borderId="14" xfId="0" applyNumberFormat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right" vertical="center"/>
    </xf>
    <xf numFmtId="0" fontId="19" fillId="3" borderId="0" xfId="1" applyFont="1" applyFill="1" applyBorder="1" applyAlignment="1">
      <alignment horizontal="right" vertical="center"/>
    </xf>
    <xf numFmtId="0" fontId="7" fillId="3" borderId="0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right" vertical="top"/>
    </xf>
    <xf numFmtId="0" fontId="3" fillId="3" borderId="0" xfId="1" applyFont="1" applyFill="1" applyBorder="1" applyAlignment="1">
      <alignment horizontal="right" vertical="top"/>
    </xf>
    <xf numFmtId="0" fontId="9" fillId="3" borderId="3" xfId="1" applyFont="1" applyFill="1" applyBorder="1" applyAlignment="1">
      <alignment horizontal="left" vertical="center" wrapText="1"/>
    </xf>
    <xf numFmtId="0" fontId="9" fillId="3" borderId="1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horizontal="right" vertical="center"/>
    </xf>
    <xf numFmtId="0" fontId="9" fillId="3" borderId="12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4" fontId="3" fillId="0" borderId="30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/>
    </xf>
    <xf numFmtId="4" fontId="3" fillId="0" borderId="14" xfId="0" applyNumberFormat="1" applyFont="1" applyFill="1" applyBorder="1" applyAlignment="1">
      <alignment horizontal="right"/>
    </xf>
    <xf numFmtId="0" fontId="9" fillId="3" borderId="5" xfId="1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14" fontId="9" fillId="3" borderId="3" xfId="1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right" vertical="center"/>
    </xf>
    <xf numFmtId="0" fontId="16" fillId="5" borderId="5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</cellXfs>
  <cellStyles count="9">
    <cellStyle name="Millares" xfId="7" builtinId="3"/>
    <cellStyle name="Millares 2" xfId="4"/>
    <cellStyle name="Millares 4" xfId="5"/>
    <cellStyle name="Normal" xfId="0" builtinId="0"/>
    <cellStyle name="Normal 2" xfId="1"/>
    <cellStyle name="Normal 5 2" xfId="6"/>
    <cellStyle name="Normal 7" xfId="3"/>
    <cellStyle name="Porcentaje" xfId="8" builtin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500061</xdr:colOff>
      <xdr:row>0</xdr:row>
      <xdr:rowOff>178594</xdr:rowOff>
    </xdr:from>
    <xdr:to>
      <xdr:col>7</xdr:col>
      <xdr:colOff>1154905</xdr:colOff>
      <xdr:row>1</xdr:row>
      <xdr:rowOff>287979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61" y="178594"/>
          <a:ext cx="11770519" cy="1576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y/Dropbox/Presupuesto/Analisis%20de%20Costos/base%20de%20an&#225;lisis%20de%20costos%20asd-%20MAY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COSTOS"/>
      <sheetName val="Hoja2"/>
      <sheetName val="MATERIALES E INSUMOS"/>
      <sheetName val="MANO DE OBRA"/>
      <sheetName val="EQUIPOS Y MOV TIERRAS"/>
      <sheetName val="analisis Paredes"/>
    </sheetNames>
    <sheetDataSet>
      <sheetData sheetId="0">
        <row r="1">
          <cell r="A1" t="str">
            <v>COD.</v>
          </cell>
        </row>
        <row r="123">
          <cell r="A123">
            <v>2.0099999999999998</v>
          </cell>
        </row>
        <row r="137">
          <cell r="A137">
            <v>2.0199999999999996</v>
          </cell>
        </row>
        <row r="274">
          <cell r="A274">
            <v>2.1599999999999966</v>
          </cell>
        </row>
        <row r="311">
          <cell r="A311">
            <v>2.1899999999999959</v>
          </cell>
        </row>
        <row r="459">
          <cell r="A459">
            <v>2.279999999999994</v>
          </cell>
        </row>
      </sheetData>
      <sheetData sheetId="1"/>
      <sheetData sheetId="2">
        <row r="1">
          <cell r="A1" t="str">
            <v>Columna1</v>
          </cell>
        </row>
        <row r="1189">
          <cell r="A1189" t="str">
            <v>ELECT110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6"/>
  <sheetViews>
    <sheetView tabSelected="1" view="pageBreakPreview" topLeftCell="C2" zoomScaleSheetLayoutView="100" workbookViewId="0">
      <selection activeCell="D8" sqref="D8:H8"/>
    </sheetView>
  </sheetViews>
  <sheetFormatPr baseColWidth="10" defaultColWidth="11.42578125" defaultRowHeight="15" x14ac:dyDescent="0.25"/>
  <cols>
    <col min="1" max="1" width="11.42578125" style="2"/>
    <col min="2" max="2" width="16" style="2" bestFit="1" customWidth="1"/>
    <col min="3" max="3" width="89.42578125" style="34" customWidth="1"/>
    <col min="4" max="4" width="14.140625" style="2" customWidth="1"/>
    <col min="5" max="5" width="12.28515625" style="2" customWidth="1"/>
    <col min="6" max="6" width="16.140625" style="2" customWidth="1"/>
    <col min="7" max="7" width="18.7109375" style="2" customWidth="1"/>
    <col min="8" max="8" width="28.5703125" style="2" customWidth="1"/>
    <col min="9" max="9" width="0.28515625" style="2" customWidth="1"/>
    <col min="10" max="10" width="11.42578125" style="2" hidden="1" customWidth="1"/>
    <col min="11" max="16384" width="11.42578125" style="2"/>
  </cols>
  <sheetData>
    <row r="1" spans="1:9" ht="115.5" customHeight="1" x14ac:dyDescent="0.25">
      <c r="B1" s="44"/>
      <c r="C1" s="45"/>
      <c r="D1" s="46"/>
      <c r="E1" s="46"/>
      <c r="F1" s="46"/>
      <c r="G1" s="46"/>
      <c r="H1" s="47"/>
    </row>
    <row r="2" spans="1:9" ht="23.25" customHeight="1" x14ac:dyDescent="0.25">
      <c r="B2" s="29"/>
      <c r="C2" s="30"/>
      <c r="D2" s="31"/>
      <c r="E2" s="31"/>
      <c r="F2" s="31"/>
      <c r="G2" s="31"/>
      <c r="H2" s="32"/>
    </row>
    <row r="3" spans="1:9" ht="12.75" customHeight="1" x14ac:dyDescent="0.25">
      <c r="B3" s="29"/>
      <c r="C3" s="30"/>
      <c r="D3" s="31"/>
      <c r="E3" s="31"/>
      <c r="F3" s="31"/>
      <c r="G3" s="31"/>
      <c r="H3" s="32"/>
    </row>
    <row r="4" spans="1:9" ht="21.75" customHeight="1" x14ac:dyDescent="0.25">
      <c r="B4" s="166" t="s">
        <v>141</v>
      </c>
      <c r="C4" s="167"/>
      <c r="D4" s="167"/>
      <c r="E4" s="167"/>
      <c r="F4" s="167"/>
      <c r="G4" s="167"/>
      <c r="H4" s="168"/>
    </row>
    <row r="5" spans="1:9" ht="18.75" customHeight="1" x14ac:dyDescent="0.25">
      <c r="B5" s="169"/>
      <c r="C5" s="170"/>
      <c r="D5" s="171"/>
      <c r="E5" s="171"/>
      <c r="F5" s="171"/>
      <c r="G5" s="171"/>
      <c r="H5" s="172"/>
    </row>
    <row r="6" spans="1:9" ht="25.5" customHeight="1" thickBot="1" x14ac:dyDescent="0.3">
      <c r="B6" s="173" t="s">
        <v>156</v>
      </c>
      <c r="C6" s="174"/>
      <c r="D6" s="175" t="s">
        <v>158</v>
      </c>
      <c r="E6" s="175"/>
      <c r="F6" s="175"/>
      <c r="G6" s="175"/>
      <c r="H6" s="176"/>
    </row>
    <row r="7" spans="1:9" ht="18" customHeight="1" thickBot="1" x14ac:dyDescent="0.3">
      <c r="B7" s="128"/>
      <c r="C7" s="35" t="s">
        <v>173</v>
      </c>
      <c r="D7" s="35"/>
      <c r="E7" s="36"/>
      <c r="F7" s="36"/>
      <c r="G7" s="36"/>
      <c r="H7" s="48"/>
    </row>
    <row r="8" spans="1:9" ht="19.5" thickBot="1" x14ac:dyDescent="0.3">
      <c r="B8" s="177" t="s">
        <v>142</v>
      </c>
      <c r="C8" s="178"/>
      <c r="D8" s="179" t="s">
        <v>145</v>
      </c>
      <c r="E8" s="179"/>
      <c r="F8" s="179"/>
      <c r="G8" s="179"/>
      <c r="H8" s="180"/>
    </row>
    <row r="9" spans="1:9" ht="18.600000000000001" thickBot="1" x14ac:dyDescent="0.3">
      <c r="B9" s="177" t="s">
        <v>143</v>
      </c>
      <c r="C9" s="178"/>
      <c r="D9" s="184" t="s">
        <v>144</v>
      </c>
      <c r="E9" s="184"/>
      <c r="F9" s="184"/>
      <c r="G9" s="184"/>
      <c r="H9" s="185"/>
    </row>
    <row r="10" spans="1:9" ht="19.5" thickBot="1" x14ac:dyDescent="0.3">
      <c r="B10" s="177" t="s">
        <v>157</v>
      </c>
      <c r="C10" s="178"/>
      <c r="D10" s="186">
        <v>44739</v>
      </c>
      <c r="E10" s="186"/>
      <c r="F10" s="186"/>
      <c r="G10" s="37"/>
      <c r="H10" s="38"/>
    </row>
    <row r="11" spans="1:9" ht="21.6" thickBot="1" x14ac:dyDescent="0.3">
      <c r="B11" s="49"/>
      <c r="C11" s="3"/>
      <c r="D11" s="3"/>
      <c r="E11" s="3"/>
      <c r="F11" s="3"/>
      <c r="G11" s="3"/>
      <c r="H11" s="50"/>
    </row>
    <row r="12" spans="1:9" ht="23.45" thickBot="1" x14ac:dyDescent="0.3">
      <c r="B12" s="64" t="s">
        <v>0</v>
      </c>
      <c r="C12" s="65" t="s">
        <v>1</v>
      </c>
      <c r="D12" s="65" t="s">
        <v>2</v>
      </c>
      <c r="E12" s="65" t="s">
        <v>3</v>
      </c>
      <c r="F12" s="65" t="s">
        <v>4</v>
      </c>
      <c r="G12" s="65" t="s">
        <v>5</v>
      </c>
      <c r="H12" s="66" t="s">
        <v>6</v>
      </c>
    </row>
    <row r="13" spans="1:9" s="4" customFormat="1" ht="23.45" thickBot="1" x14ac:dyDescent="0.45">
      <c r="B13" s="67">
        <v>1</v>
      </c>
      <c r="C13" s="68" t="s">
        <v>93</v>
      </c>
      <c r="D13" s="138"/>
      <c r="E13" s="138"/>
      <c r="F13" s="138"/>
      <c r="G13" s="138"/>
      <c r="H13" s="55"/>
    </row>
    <row r="14" spans="1:9" s="4" customFormat="1" ht="26.25" customHeight="1" x14ac:dyDescent="0.25">
      <c r="A14" s="39">
        <f>+'[1]ANALISIS DE COSTOS'!$A$123</f>
        <v>2.0099999999999998</v>
      </c>
      <c r="B14" s="69">
        <f>+B13+0.01</f>
        <v>1.01</v>
      </c>
      <c r="C14" s="70" t="s">
        <v>46</v>
      </c>
      <c r="D14" s="130">
        <v>503.21</v>
      </c>
      <c r="E14" s="130" t="s">
        <v>10</v>
      </c>
      <c r="F14" s="131"/>
      <c r="G14" s="132"/>
      <c r="H14" s="57"/>
    </row>
    <row r="15" spans="1:9" s="4" customFormat="1" ht="23.25" customHeight="1" x14ac:dyDescent="0.25">
      <c r="A15" s="39">
        <v>100.02000000000001</v>
      </c>
      <c r="B15" s="72">
        <f>+B14+0.01</f>
        <v>1.02</v>
      </c>
      <c r="C15" s="73" t="s">
        <v>150</v>
      </c>
      <c r="D15" s="134">
        <v>169.74</v>
      </c>
      <c r="E15" s="134" t="s">
        <v>10</v>
      </c>
      <c r="F15" s="131"/>
      <c r="G15" s="135"/>
      <c r="H15" s="58"/>
    </row>
    <row r="16" spans="1:9" s="4" customFormat="1" ht="47.25" customHeight="1" x14ac:dyDescent="0.25">
      <c r="A16" s="39">
        <v>2.1599999999999966</v>
      </c>
      <c r="B16" s="72">
        <f>+B15+0.01</f>
        <v>1.03</v>
      </c>
      <c r="C16" s="73" t="s">
        <v>115</v>
      </c>
      <c r="D16" s="134">
        <f>+ROUND((D14*0.05)*1.25,2)</f>
        <v>31.45</v>
      </c>
      <c r="E16" s="134" t="s">
        <v>12</v>
      </c>
      <c r="F16" s="131"/>
      <c r="G16" s="135"/>
      <c r="H16" s="58"/>
      <c r="I16" s="4">
        <f>13.83*(0.65-0.25)*(0.45-0.15)</f>
        <v>1.6596000000000002</v>
      </c>
    </row>
    <row r="17" spans="1:10" s="4" customFormat="1" ht="21" thickBot="1" x14ac:dyDescent="0.35">
      <c r="B17" s="29"/>
      <c r="C17" s="30" t="s">
        <v>94</v>
      </c>
      <c r="D17" s="136"/>
      <c r="E17" s="136"/>
      <c r="F17" s="137"/>
      <c r="G17" s="136"/>
      <c r="H17" s="62"/>
    </row>
    <row r="18" spans="1:10" s="4" customFormat="1" ht="23.25" thickBot="1" x14ac:dyDescent="0.35">
      <c r="B18" s="67">
        <v>2</v>
      </c>
      <c r="C18" s="74" t="s">
        <v>95</v>
      </c>
      <c r="D18" s="138"/>
      <c r="E18" s="138"/>
      <c r="F18" s="138"/>
      <c r="G18" s="138"/>
      <c r="H18" s="55"/>
    </row>
    <row r="19" spans="1:10" s="4" customFormat="1" ht="26.25" customHeight="1" x14ac:dyDescent="0.25">
      <c r="A19" s="39">
        <f>+'[1]ANALISIS DE COSTOS'!$A$137</f>
        <v>2.0199999999999996</v>
      </c>
      <c r="B19" s="69">
        <f t="shared" ref="B19:B25" si="0">+B18+0.01</f>
        <v>2.0099999999999998</v>
      </c>
      <c r="C19" s="70" t="s">
        <v>38</v>
      </c>
      <c r="D19" s="130">
        <v>29.569999999999997</v>
      </c>
      <c r="E19" s="130" t="s">
        <v>8</v>
      </c>
      <c r="F19" s="131"/>
      <c r="G19" s="132"/>
      <c r="H19" s="57"/>
    </row>
    <row r="20" spans="1:10" s="4" customFormat="1" ht="27" customHeight="1" x14ac:dyDescent="0.25">
      <c r="A20" s="39">
        <f>+'[1]ANALISIS DE COSTOS'!$A$137</f>
        <v>2.0199999999999996</v>
      </c>
      <c r="B20" s="72">
        <f t="shared" si="0"/>
        <v>2.0199999999999996</v>
      </c>
      <c r="C20" s="73" t="s">
        <v>39</v>
      </c>
      <c r="D20" s="134">
        <v>17.27</v>
      </c>
      <c r="E20" s="134" t="s">
        <v>8</v>
      </c>
      <c r="F20" s="131"/>
      <c r="G20" s="135"/>
      <c r="H20" s="58"/>
    </row>
    <row r="21" spans="1:10" s="4" customFormat="1" ht="21.75" customHeight="1" x14ac:dyDescent="0.25">
      <c r="A21" s="39">
        <f>+'[1]ANALISIS DE COSTOS'!$A$459</f>
        <v>2.279999999999994</v>
      </c>
      <c r="B21" s="72">
        <f t="shared" si="0"/>
        <v>2.0299999999999994</v>
      </c>
      <c r="C21" s="73" t="s">
        <v>14</v>
      </c>
      <c r="D21" s="134">
        <f>19.83*1.3</f>
        <v>25.779</v>
      </c>
      <c r="E21" s="134" t="s">
        <v>13</v>
      </c>
      <c r="F21" s="131"/>
      <c r="G21" s="135"/>
      <c r="H21" s="58"/>
    </row>
    <row r="22" spans="1:10" s="4" customFormat="1" ht="24.75" customHeight="1" x14ac:dyDescent="0.25">
      <c r="A22" s="39">
        <f>+'[1]ANALISIS DE COSTOS'!$A$459</f>
        <v>2.279999999999994</v>
      </c>
      <c r="B22" s="72">
        <f t="shared" si="0"/>
        <v>2.0399999999999991</v>
      </c>
      <c r="C22" s="71" t="s">
        <v>15</v>
      </c>
      <c r="D22" s="134">
        <f>8.13*1.3</f>
        <v>10.569000000000001</v>
      </c>
      <c r="E22" s="134" t="s">
        <v>13</v>
      </c>
      <c r="F22" s="131"/>
      <c r="G22" s="135"/>
      <c r="H22" s="58"/>
    </row>
    <row r="23" spans="1:10" s="4" customFormat="1" ht="46.5" customHeight="1" x14ac:dyDescent="0.25">
      <c r="A23" s="39">
        <f>+'[1]ANALISIS DE COSTOS'!$A$311</f>
        <v>2.1899999999999959</v>
      </c>
      <c r="B23" s="72">
        <f t="shared" si="0"/>
        <v>2.0499999999999989</v>
      </c>
      <c r="C23" s="73" t="s">
        <v>41</v>
      </c>
      <c r="D23" s="134">
        <f>121.92*0.2</f>
        <v>24.384</v>
      </c>
      <c r="E23" s="134" t="s">
        <v>13</v>
      </c>
      <c r="F23" s="131"/>
      <c r="G23" s="135"/>
      <c r="H23" s="58"/>
    </row>
    <row r="24" spans="1:10" s="4" customFormat="1" ht="46.5" customHeight="1" x14ac:dyDescent="0.25">
      <c r="A24" s="39">
        <f>+'[1]ANALISIS DE COSTOS'!$A$311</f>
        <v>2.1899999999999959</v>
      </c>
      <c r="B24" s="72">
        <f t="shared" si="0"/>
        <v>2.0599999999999987</v>
      </c>
      <c r="C24" s="73" t="s">
        <v>47</v>
      </c>
      <c r="D24" s="134">
        <f>24.22*0.4*1.3</f>
        <v>12.594400000000002</v>
      </c>
      <c r="E24" s="134" t="s">
        <v>13</v>
      </c>
      <c r="F24" s="131"/>
      <c r="G24" s="135"/>
      <c r="H24" s="58"/>
    </row>
    <row r="25" spans="1:10" s="4" customFormat="1" ht="27" customHeight="1" x14ac:dyDescent="0.25">
      <c r="A25" s="39">
        <f>+'[1]ANALISIS DE COSTOS'!$A$274</f>
        <v>2.1599999999999966</v>
      </c>
      <c r="B25" s="72">
        <f t="shared" si="0"/>
        <v>2.0699999999999985</v>
      </c>
      <c r="C25" s="73" t="s">
        <v>16</v>
      </c>
      <c r="D25" s="134">
        <f>+((D19+D20-D21-D22))*1.25</f>
        <v>13.114999999999995</v>
      </c>
      <c r="E25" s="134" t="s">
        <v>12</v>
      </c>
      <c r="F25" s="131"/>
      <c r="G25" s="135"/>
      <c r="H25" s="58"/>
    </row>
    <row r="26" spans="1:10" s="4" customFormat="1" ht="21" thickBot="1" x14ac:dyDescent="0.35">
      <c r="B26" s="29"/>
      <c r="C26" s="30"/>
      <c r="D26" s="136"/>
      <c r="E26" s="136"/>
      <c r="F26" s="136"/>
      <c r="G26" s="136"/>
      <c r="H26" s="62"/>
    </row>
    <row r="27" spans="1:10" s="4" customFormat="1" ht="21" thickBot="1" x14ac:dyDescent="0.3">
      <c r="B27" s="75">
        <v>3</v>
      </c>
      <c r="C27" s="76" t="s">
        <v>17</v>
      </c>
      <c r="D27" s="139"/>
      <c r="E27" s="139"/>
      <c r="F27" s="139"/>
      <c r="G27" s="139"/>
      <c r="H27" s="61"/>
    </row>
    <row r="28" spans="1:10" s="4" customFormat="1" ht="46.5" x14ac:dyDescent="0.25">
      <c r="A28" s="4">
        <v>103.18000000000008</v>
      </c>
      <c r="B28" s="77">
        <f t="shared" ref="B28:B43" si="1">+B27+0.01</f>
        <v>3.01</v>
      </c>
      <c r="C28" s="78" t="s">
        <v>26</v>
      </c>
      <c r="D28" s="140">
        <v>2.74</v>
      </c>
      <c r="E28" s="141" t="s">
        <v>8</v>
      </c>
      <c r="F28" s="142"/>
      <c r="G28" s="143"/>
      <c r="H28" s="57"/>
    </row>
    <row r="29" spans="1:10" s="4" customFormat="1" ht="48" customHeight="1" x14ac:dyDescent="0.25">
      <c r="A29" s="4">
        <v>103.18000000000008</v>
      </c>
      <c r="B29" s="72">
        <f t="shared" si="1"/>
        <v>3.0199999999999996</v>
      </c>
      <c r="C29" s="71" t="s">
        <v>27</v>
      </c>
      <c r="D29" s="133">
        <v>4.12</v>
      </c>
      <c r="E29" s="134" t="s">
        <v>8</v>
      </c>
      <c r="F29" s="144"/>
      <c r="G29" s="135"/>
      <c r="H29" s="58"/>
    </row>
    <row r="30" spans="1:10" s="4" customFormat="1" ht="48" customHeight="1" x14ac:dyDescent="0.25">
      <c r="A30" s="4">
        <v>103.19000000000008</v>
      </c>
      <c r="B30" s="72">
        <f t="shared" si="1"/>
        <v>3.0299999999999994</v>
      </c>
      <c r="C30" s="71" t="s">
        <v>28</v>
      </c>
      <c r="D30" s="133">
        <v>1.82</v>
      </c>
      <c r="E30" s="134" t="s">
        <v>8</v>
      </c>
      <c r="F30" s="144"/>
      <c r="G30" s="135"/>
      <c r="H30" s="58"/>
      <c r="I30"/>
      <c r="J30"/>
    </row>
    <row r="31" spans="1:10" s="4" customFormat="1" ht="52.5" customHeight="1" x14ac:dyDescent="0.25">
      <c r="A31" s="4">
        <v>103.20000000000009</v>
      </c>
      <c r="B31" s="72">
        <f t="shared" si="1"/>
        <v>3.0399999999999991</v>
      </c>
      <c r="C31" s="71" t="s">
        <v>149</v>
      </c>
      <c r="D31" s="133">
        <v>5.08</v>
      </c>
      <c r="E31" s="134" t="s">
        <v>8</v>
      </c>
      <c r="F31" s="131"/>
      <c r="G31" s="135"/>
      <c r="H31" s="58"/>
      <c r="I31"/>
      <c r="J31"/>
    </row>
    <row r="32" spans="1:10" s="4" customFormat="1" ht="48" customHeight="1" x14ac:dyDescent="0.25">
      <c r="A32" s="43">
        <v>104.10000000000005</v>
      </c>
      <c r="B32" s="72">
        <f t="shared" si="1"/>
        <v>3.0499999999999989</v>
      </c>
      <c r="C32" s="71" t="s">
        <v>29</v>
      </c>
      <c r="D32" s="134">
        <v>1.6</v>
      </c>
      <c r="E32" s="134" t="s">
        <v>8</v>
      </c>
      <c r="F32" s="144"/>
      <c r="G32" s="135"/>
      <c r="H32" s="58"/>
      <c r="I32"/>
      <c r="J32"/>
    </row>
    <row r="33" spans="1:10" s="4" customFormat="1" ht="51" customHeight="1" x14ac:dyDescent="0.25">
      <c r="A33" s="43">
        <v>104.10000000000005</v>
      </c>
      <c r="B33" s="72">
        <f t="shared" si="1"/>
        <v>3.0599999999999987</v>
      </c>
      <c r="C33" s="71" t="s">
        <v>30</v>
      </c>
      <c r="D33" s="134">
        <v>2.4</v>
      </c>
      <c r="E33" s="134" t="s">
        <v>8</v>
      </c>
      <c r="F33" s="144"/>
      <c r="G33" s="135"/>
      <c r="H33" s="58"/>
      <c r="I33"/>
      <c r="J33"/>
    </row>
    <row r="34" spans="1:10" s="4" customFormat="1" ht="46.5" x14ac:dyDescent="0.25">
      <c r="A34" s="43">
        <v>104.11000000000006</v>
      </c>
      <c r="B34" s="79">
        <f t="shared" si="1"/>
        <v>3.0699999999999985</v>
      </c>
      <c r="C34" s="80" t="s">
        <v>31</v>
      </c>
      <c r="D34" s="145">
        <v>1.2</v>
      </c>
      <c r="E34" s="145" t="s">
        <v>8</v>
      </c>
      <c r="F34" s="144"/>
      <c r="G34" s="146"/>
      <c r="H34" s="58"/>
      <c r="I34"/>
      <c r="J34"/>
    </row>
    <row r="35" spans="1:10" s="4" customFormat="1" ht="69.75" x14ac:dyDescent="0.25">
      <c r="A35" s="4">
        <v>105.19100000000009</v>
      </c>
      <c r="B35" s="72">
        <f t="shared" si="1"/>
        <v>3.0799999999999983</v>
      </c>
      <c r="C35" s="71" t="s">
        <v>48</v>
      </c>
      <c r="D35" s="134">
        <v>3.1160000000000005</v>
      </c>
      <c r="E35" s="134" t="s">
        <v>8</v>
      </c>
      <c r="F35" s="144"/>
      <c r="G35" s="147"/>
      <c r="H35" s="58"/>
      <c r="I35"/>
      <c r="J35"/>
    </row>
    <row r="36" spans="1:10" s="4" customFormat="1" ht="46.5" x14ac:dyDescent="0.25">
      <c r="A36" s="4">
        <v>105.20100000000009</v>
      </c>
      <c r="B36" s="69">
        <f t="shared" si="1"/>
        <v>3.0899999999999981</v>
      </c>
      <c r="C36" s="82" t="s">
        <v>32</v>
      </c>
      <c r="D36" s="130">
        <v>2.6240000000000001</v>
      </c>
      <c r="E36" s="130" t="s">
        <v>8</v>
      </c>
      <c r="F36" s="131"/>
      <c r="G36" s="132"/>
      <c r="H36" s="58"/>
      <c r="I36"/>
      <c r="J36"/>
    </row>
    <row r="37" spans="1:10" s="4" customFormat="1" ht="46.5" x14ac:dyDescent="0.25">
      <c r="A37" s="4">
        <v>105.2110000000001</v>
      </c>
      <c r="B37" s="72">
        <f t="shared" si="1"/>
        <v>3.0999999999999979</v>
      </c>
      <c r="C37" s="71" t="s">
        <v>33</v>
      </c>
      <c r="D37" s="134">
        <v>0.51800000000000002</v>
      </c>
      <c r="E37" s="134" t="s">
        <v>8</v>
      </c>
      <c r="F37" s="144"/>
      <c r="G37" s="135"/>
      <c r="H37" s="58"/>
      <c r="I37"/>
      <c r="J37"/>
    </row>
    <row r="38" spans="1:10" s="4" customFormat="1" ht="46.5" x14ac:dyDescent="0.25">
      <c r="A38" s="4">
        <v>105.2210000000001</v>
      </c>
      <c r="B38" s="72">
        <f t="shared" si="1"/>
        <v>3.1099999999999977</v>
      </c>
      <c r="C38" s="71" t="s">
        <v>34</v>
      </c>
      <c r="D38" s="134">
        <v>0.51800000000000002</v>
      </c>
      <c r="E38" s="134" t="s">
        <v>8</v>
      </c>
      <c r="F38" s="131"/>
      <c r="G38" s="135"/>
      <c r="H38" s="58"/>
      <c r="I38"/>
      <c r="J38"/>
    </row>
    <row r="39" spans="1:10" s="4" customFormat="1" ht="46.5" x14ac:dyDescent="0.25">
      <c r="A39" s="41" t="s">
        <v>151</v>
      </c>
      <c r="B39" s="72">
        <f t="shared" si="1"/>
        <v>3.1199999999999974</v>
      </c>
      <c r="C39" s="71" t="s">
        <v>35</v>
      </c>
      <c r="D39" s="134">
        <v>0.97439999999999982</v>
      </c>
      <c r="E39" s="134" t="s">
        <v>8</v>
      </c>
      <c r="F39" s="144"/>
      <c r="G39" s="135"/>
      <c r="H39" s="58"/>
      <c r="I39"/>
      <c r="J39"/>
    </row>
    <row r="40" spans="1:10" s="4" customFormat="1" ht="46.5" x14ac:dyDescent="0.25">
      <c r="A40" s="4">
        <v>108.11000000000006</v>
      </c>
      <c r="B40" s="72">
        <f>B39+0.01</f>
        <v>3.1299999999999972</v>
      </c>
      <c r="C40" s="71" t="s">
        <v>36</v>
      </c>
      <c r="D40" s="134">
        <v>19.370639999999995</v>
      </c>
      <c r="E40" s="134" t="s">
        <v>8</v>
      </c>
      <c r="F40" s="144"/>
      <c r="G40" s="135"/>
      <c r="H40" s="58"/>
      <c r="I40"/>
      <c r="J40"/>
    </row>
    <row r="41" spans="1:10" s="4" customFormat="1" ht="46.5" x14ac:dyDescent="0.25">
      <c r="A41" s="40" t="s">
        <v>152</v>
      </c>
      <c r="B41" s="72">
        <f t="shared" si="1"/>
        <v>3.139999999999997</v>
      </c>
      <c r="C41" s="71" t="s">
        <v>37</v>
      </c>
      <c r="D41" s="134">
        <v>121.92</v>
      </c>
      <c r="E41" s="134" t="s">
        <v>10</v>
      </c>
      <c r="F41" s="144"/>
      <c r="G41" s="135"/>
      <c r="H41" s="159"/>
      <c r="I41"/>
      <c r="J41"/>
    </row>
    <row r="42" spans="1:10" s="4" customFormat="1" ht="46.5" x14ac:dyDescent="0.25">
      <c r="A42" s="39">
        <v>120.03000000000002</v>
      </c>
      <c r="B42" s="72">
        <f t="shared" si="1"/>
        <v>3.1499999999999968</v>
      </c>
      <c r="C42" s="71" t="s">
        <v>74</v>
      </c>
      <c r="D42" s="134">
        <v>47.83</v>
      </c>
      <c r="E42" s="134" t="s">
        <v>10</v>
      </c>
      <c r="F42" s="144"/>
      <c r="G42" s="135"/>
      <c r="H42" s="181"/>
      <c r="I42"/>
      <c r="J42"/>
    </row>
    <row r="43" spans="1:10" s="4" customFormat="1" ht="46.5" x14ac:dyDescent="0.25">
      <c r="A43" s="4">
        <v>121.01</v>
      </c>
      <c r="B43" s="72">
        <f t="shared" si="1"/>
        <v>3.1599999999999966</v>
      </c>
      <c r="C43" s="71" t="s">
        <v>92</v>
      </c>
      <c r="D43" s="134">
        <v>4</v>
      </c>
      <c r="E43" s="134" t="s">
        <v>7</v>
      </c>
      <c r="F43" s="131"/>
      <c r="G43" s="135"/>
      <c r="H43" s="182"/>
      <c r="I43"/>
      <c r="J43"/>
    </row>
    <row r="44" spans="1:10" s="4" customFormat="1" ht="21" thickBot="1" x14ac:dyDescent="0.35">
      <c r="B44" s="33"/>
      <c r="C44" s="81"/>
      <c r="D44" s="148"/>
      <c r="E44" s="148"/>
      <c r="F44" s="148"/>
      <c r="G44" s="148"/>
      <c r="H44" s="183"/>
    </row>
    <row r="45" spans="1:10" s="4" customFormat="1" ht="21" thickBot="1" x14ac:dyDescent="0.3">
      <c r="B45" s="75">
        <v>4</v>
      </c>
      <c r="C45" s="76" t="s">
        <v>116</v>
      </c>
      <c r="D45" s="139"/>
      <c r="E45" s="139"/>
      <c r="F45" s="139"/>
      <c r="G45" s="139"/>
      <c r="H45" s="107"/>
    </row>
    <row r="46" spans="1:10" s="4" customFormat="1" ht="29.25" customHeight="1" x14ac:dyDescent="0.25">
      <c r="A46" s="39">
        <v>113.06000000000003</v>
      </c>
      <c r="B46" s="69">
        <f>+B45+0.01</f>
        <v>4.01</v>
      </c>
      <c r="C46" s="82" t="s">
        <v>18</v>
      </c>
      <c r="D46" s="130">
        <v>37.42</v>
      </c>
      <c r="E46" s="130" t="s">
        <v>10</v>
      </c>
      <c r="F46" s="131"/>
      <c r="G46" s="132"/>
      <c r="H46" s="57"/>
    </row>
    <row r="47" spans="1:10" s="4" customFormat="1" ht="27.75" customHeight="1" x14ac:dyDescent="0.25">
      <c r="A47" s="39">
        <v>113.04000000000002</v>
      </c>
      <c r="B47" s="72">
        <f>+B46+0.01</f>
        <v>4.0199999999999996</v>
      </c>
      <c r="C47" s="71" t="s">
        <v>40</v>
      </c>
      <c r="D47" s="134">
        <v>194.58</v>
      </c>
      <c r="E47" s="134" t="s">
        <v>10</v>
      </c>
      <c r="F47" s="131"/>
      <c r="G47" s="135"/>
      <c r="H47" s="58"/>
    </row>
    <row r="48" spans="1:10" s="4" customFormat="1" ht="21" thickBot="1" x14ac:dyDescent="0.35">
      <c r="B48" s="29"/>
      <c r="C48" s="30"/>
      <c r="D48" s="136"/>
      <c r="E48" s="136"/>
      <c r="F48" s="136"/>
      <c r="G48" s="136"/>
      <c r="H48" s="62"/>
    </row>
    <row r="49" spans="1:8" s="4" customFormat="1" ht="21" thickBot="1" x14ac:dyDescent="0.3">
      <c r="B49" s="75">
        <v>5</v>
      </c>
      <c r="C49" s="76" t="s">
        <v>19</v>
      </c>
      <c r="D49" s="139"/>
      <c r="E49" s="139"/>
      <c r="F49" s="139"/>
      <c r="G49" s="139"/>
      <c r="H49" s="56"/>
    </row>
    <row r="50" spans="1:8" s="4" customFormat="1" ht="27" customHeight="1" x14ac:dyDescent="0.25">
      <c r="A50" s="39">
        <v>114.03000000000002</v>
      </c>
      <c r="B50" s="69">
        <f>+B49+0.01</f>
        <v>5.01</v>
      </c>
      <c r="C50" s="82" t="s">
        <v>20</v>
      </c>
      <c r="D50" s="130">
        <v>274.19499999999994</v>
      </c>
      <c r="E50" s="130" t="s">
        <v>10</v>
      </c>
      <c r="F50" s="131"/>
      <c r="G50" s="132"/>
      <c r="H50" s="57"/>
    </row>
    <row r="51" spans="1:8" s="4" customFormat="1" ht="27" customHeight="1" x14ac:dyDescent="0.25">
      <c r="A51" s="39">
        <v>114.06000000000003</v>
      </c>
      <c r="B51" s="72">
        <f>+B50+0.01</f>
        <v>5.0199999999999996</v>
      </c>
      <c r="C51" s="71" t="s">
        <v>49</v>
      </c>
      <c r="D51" s="133">
        <v>578.93200000000002</v>
      </c>
      <c r="E51" s="134" t="s">
        <v>10</v>
      </c>
      <c r="F51" s="131"/>
      <c r="G51" s="135"/>
      <c r="H51" s="58"/>
    </row>
    <row r="52" spans="1:8" s="4" customFormat="1" ht="23.25" x14ac:dyDescent="0.25">
      <c r="A52" s="39">
        <v>114.07000000000004</v>
      </c>
      <c r="B52" s="72">
        <f>+B51+0.01</f>
        <v>5.0299999999999994</v>
      </c>
      <c r="C52" s="71" t="s">
        <v>50</v>
      </c>
      <c r="D52" s="134">
        <v>544.95999999999992</v>
      </c>
      <c r="E52" s="134" t="s">
        <v>7</v>
      </c>
      <c r="F52" s="131"/>
      <c r="G52" s="135"/>
      <c r="H52" s="58"/>
    </row>
    <row r="53" spans="1:8" s="4" customFormat="1" ht="50.25" customHeight="1" x14ac:dyDescent="0.25">
      <c r="B53" s="72">
        <f>+B52+0.01</f>
        <v>5.0399999999999991</v>
      </c>
      <c r="C53" s="71" t="s">
        <v>90</v>
      </c>
      <c r="D53" s="134">
        <v>1</v>
      </c>
      <c r="E53" s="134" t="s">
        <v>25</v>
      </c>
      <c r="F53" s="149"/>
      <c r="G53" s="135"/>
      <c r="H53" s="58"/>
    </row>
    <row r="54" spans="1:8" s="4" customFormat="1" ht="21" thickBot="1" x14ac:dyDescent="0.35">
      <c r="B54" s="29"/>
      <c r="C54" s="30"/>
      <c r="D54" s="136"/>
      <c r="E54" s="136"/>
      <c r="F54" s="136"/>
      <c r="G54" s="136"/>
      <c r="H54" s="62"/>
    </row>
    <row r="55" spans="1:8" s="4" customFormat="1" ht="21" thickBot="1" x14ac:dyDescent="0.3">
      <c r="B55" s="75">
        <v>6</v>
      </c>
      <c r="C55" s="76" t="s">
        <v>117</v>
      </c>
      <c r="D55" s="139"/>
      <c r="E55" s="139"/>
      <c r="F55" s="139"/>
      <c r="G55" s="139"/>
      <c r="H55" s="61"/>
    </row>
    <row r="56" spans="1:8" s="4" customFormat="1" ht="23.25" x14ac:dyDescent="0.25">
      <c r="A56" s="39">
        <v>118.03000000000002</v>
      </c>
      <c r="B56" s="69">
        <f>+B55+0.01</f>
        <v>6.01</v>
      </c>
      <c r="C56" s="82" t="s">
        <v>91</v>
      </c>
      <c r="D56" s="130">
        <v>20.088000000000001</v>
      </c>
      <c r="E56" s="130" t="s">
        <v>10</v>
      </c>
      <c r="F56" s="131"/>
      <c r="G56" s="132"/>
      <c r="H56" s="57"/>
    </row>
    <row r="57" spans="1:8" s="4" customFormat="1" ht="23.25" x14ac:dyDescent="0.25">
      <c r="A57" s="39">
        <v>118.03000000000002</v>
      </c>
      <c r="B57" s="72">
        <f>+B56+0.01</f>
        <v>6.02</v>
      </c>
      <c r="C57" s="71" t="s">
        <v>56</v>
      </c>
      <c r="D57" s="134">
        <v>106.20000000000002</v>
      </c>
      <c r="E57" s="134" t="s">
        <v>10</v>
      </c>
      <c r="F57" s="131"/>
      <c r="G57" s="135"/>
      <c r="H57" s="58"/>
    </row>
    <row r="58" spans="1:8" s="4" customFormat="1" ht="23.25" x14ac:dyDescent="0.25">
      <c r="A58" s="39">
        <v>119.08000000000004</v>
      </c>
      <c r="B58" s="72">
        <f>+B57+0.01</f>
        <v>6.0299999999999994</v>
      </c>
      <c r="C58" s="71" t="s">
        <v>57</v>
      </c>
      <c r="D58" s="134">
        <v>50.45</v>
      </c>
      <c r="E58" s="134" t="s">
        <v>7</v>
      </c>
      <c r="F58" s="131"/>
      <c r="G58" s="135"/>
      <c r="H58" s="58"/>
    </row>
    <row r="59" spans="1:8" s="4" customFormat="1" ht="21" thickBot="1" x14ac:dyDescent="0.35">
      <c r="B59" s="29"/>
      <c r="C59" s="30"/>
      <c r="D59" s="136"/>
      <c r="E59" s="136"/>
      <c r="F59" s="136"/>
      <c r="G59" s="136"/>
      <c r="H59" s="59"/>
    </row>
    <row r="60" spans="1:8" s="4" customFormat="1" ht="21" thickBot="1" x14ac:dyDescent="0.3">
      <c r="B60" s="75">
        <v>7</v>
      </c>
      <c r="C60" s="76" t="s">
        <v>96</v>
      </c>
      <c r="D60" s="139"/>
      <c r="E60" s="139"/>
      <c r="F60" s="139"/>
      <c r="G60" s="139"/>
      <c r="H60" s="120"/>
    </row>
    <row r="61" spans="1:8" s="4" customFormat="1" ht="29.25" customHeight="1" x14ac:dyDescent="0.25">
      <c r="A61" s="4" t="s">
        <v>153</v>
      </c>
      <c r="B61" s="69">
        <f t="shared" ref="B61:B66" si="2">+B60+0.01</f>
        <v>7.01</v>
      </c>
      <c r="C61" s="82" t="s">
        <v>51</v>
      </c>
      <c r="D61" s="130">
        <v>228.11200000000002</v>
      </c>
      <c r="E61" s="130" t="s">
        <v>21</v>
      </c>
      <c r="F61" s="131"/>
      <c r="G61" s="132"/>
      <c r="H61" s="57"/>
    </row>
    <row r="62" spans="1:8" s="4" customFormat="1" ht="25.5" customHeight="1" x14ac:dyDescent="0.25">
      <c r="A62" s="39">
        <v>122.01</v>
      </c>
      <c r="B62" s="72">
        <f t="shared" si="2"/>
        <v>7.02</v>
      </c>
      <c r="C62" s="71" t="s">
        <v>52</v>
      </c>
      <c r="D62" s="134">
        <v>2</v>
      </c>
      <c r="E62" s="134" t="s">
        <v>11</v>
      </c>
      <c r="F62" s="131"/>
      <c r="G62" s="135"/>
      <c r="H62" s="58"/>
    </row>
    <row r="63" spans="1:8" s="4" customFormat="1" ht="27" customHeight="1" x14ac:dyDescent="0.25">
      <c r="A63" s="39">
        <v>122.01</v>
      </c>
      <c r="B63" s="72">
        <f t="shared" si="2"/>
        <v>7.0299999999999994</v>
      </c>
      <c r="C63" s="71" t="s">
        <v>53</v>
      </c>
      <c r="D63" s="134">
        <v>2</v>
      </c>
      <c r="E63" s="134" t="s">
        <v>11</v>
      </c>
      <c r="F63" s="131"/>
      <c r="G63" s="135"/>
      <c r="H63" s="58"/>
    </row>
    <row r="64" spans="1:8" s="4" customFormat="1" ht="26.25" customHeight="1" x14ac:dyDescent="0.25">
      <c r="A64" s="39">
        <v>122.01</v>
      </c>
      <c r="B64" s="72">
        <f t="shared" si="2"/>
        <v>7.0399999999999991</v>
      </c>
      <c r="C64" s="71" t="s">
        <v>54</v>
      </c>
      <c r="D64" s="134">
        <v>1</v>
      </c>
      <c r="E64" s="134" t="s">
        <v>11</v>
      </c>
      <c r="F64" s="131"/>
      <c r="G64" s="135"/>
      <c r="H64" s="58"/>
    </row>
    <row r="65" spans="1:8" s="4" customFormat="1" ht="46.5" x14ac:dyDescent="0.25">
      <c r="B65" s="72">
        <f t="shared" si="2"/>
        <v>7.0499999999999989</v>
      </c>
      <c r="C65" s="73" t="s">
        <v>55</v>
      </c>
      <c r="D65" s="134">
        <v>1</v>
      </c>
      <c r="E65" s="134" t="s">
        <v>11</v>
      </c>
      <c r="F65" s="149"/>
      <c r="G65" s="135"/>
      <c r="H65" s="58"/>
    </row>
    <row r="66" spans="1:8" s="4" customFormat="1" ht="23.25" x14ac:dyDescent="0.25">
      <c r="A66" s="39">
        <v>127.02000000000001</v>
      </c>
      <c r="B66" s="72">
        <f t="shared" si="2"/>
        <v>7.0599999999999987</v>
      </c>
      <c r="C66" s="71" t="s">
        <v>88</v>
      </c>
      <c r="D66" s="134">
        <v>301.32303999999999</v>
      </c>
      <c r="E66" s="134" t="s">
        <v>21</v>
      </c>
      <c r="F66" s="131"/>
      <c r="G66" s="135"/>
      <c r="H66" s="58"/>
    </row>
    <row r="67" spans="1:8" s="4" customFormat="1" ht="21" thickBot="1" x14ac:dyDescent="0.35">
      <c r="B67" s="29"/>
      <c r="C67" s="30"/>
      <c r="D67" s="136"/>
      <c r="E67" s="136"/>
      <c r="F67" s="136"/>
      <c r="G67" s="136"/>
      <c r="H67" s="59"/>
    </row>
    <row r="68" spans="1:8" s="4" customFormat="1" ht="21" thickBot="1" x14ac:dyDescent="0.3">
      <c r="B68" s="75">
        <v>8</v>
      </c>
      <c r="C68" s="76" t="s">
        <v>22</v>
      </c>
      <c r="D68" s="139"/>
      <c r="E68" s="139"/>
      <c r="F68" s="139"/>
      <c r="G68" s="139"/>
      <c r="H68" s="120"/>
    </row>
    <row r="69" spans="1:8" s="4" customFormat="1" ht="23.25" x14ac:dyDescent="0.25">
      <c r="A69" s="39">
        <v>115.03000000000002</v>
      </c>
      <c r="B69" s="69">
        <f>+B68+0.01</f>
        <v>8.01</v>
      </c>
      <c r="C69" s="82" t="s">
        <v>23</v>
      </c>
      <c r="D69" s="130">
        <f>+D51-D70</f>
        <v>419.20000000000005</v>
      </c>
      <c r="E69" s="130" t="s">
        <v>10</v>
      </c>
      <c r="F69" s="131"/>
      <c r="G69" s="132"/>
      <c r="H69" s="57"/>
    </row>
    <row r="70" spans="1:8" s="4" customFormat="1" ht="23.25" x14ac:dyDescent="0.25">
      <c r="A70" s="39">
        <v>115.03000000000002</v>
      </c>
      <c r="B70" s="72">
        <f>+B69+0.01</f>
        <v>8.02</v>
      </c>
      <c r="C70" s="71" t="s">
        <v>24</v>
      </c>
      <c r="D70" s="134">
        <f>9.18*17.4</f>
        <v>159.73199999999997</v>
      </c>
      <c r="E70" s="134" t="s">
        <v>10</v>
      </c>
      <c r="F70" s="131"/>
      <c r="G70" s="135"/>
      <c r="H70" s="58"/>
    </row>
    <row r="71" spans="1:8" s="4" customFormat="1" ht="46.5" x14ac:dyDescent="0.25">
      <c r="A71" s="39">
        <v>115.09000000000002</v>
      </c>
      <c r="B71" s="72">
        <f>+B70+0.01</f>
        <v>8.0299999999999994</v>
      </c>
      <c r="C71" s="71" t="s">
        <v>58</v>
      </c>
      <c r="D71" s="134">
        <f>+(1.5*1*3+0.5*0.5*2+2*1.1*6+1*1*3+0.77*2.1*2+0.85*2.1*2+0.9*2.1+1.1*2.1)</f>
        <v>32.204000000000008</v>
      </c>
      <c r="E71" s="134" t="s">
        <v>10</v>
      </c>
      <c r="F71" s="131"/>
      <c r="G71" s="135"/>
      <c r="H71" s="58"/>
    </row>
    <row r="72" spans="1:8" s="4" customFormat="1" ht="21" thickBot="1" x14ac:dyDescent="0.35">
      <c r="B72" s="29"/>
      <c r="C72" s="30"/>
      <c r="D72" s="136"/>
      <c r="E72" s="136"/>
      <c r="F72" s="136"/>
      <c r="G72" s="136"/>
      <c r="H72" s="59"/>
    </row>
    <row r="73" spans="1:8" s="4" customFormat="1" ht="21" thickBot="1" x14ac:dyDescent="0.3">
      <c r="B73" s="75">
        <v>9</v>
      </c>
      <c r="C73" s="76" t="s">
        <v>97</v>
      </c>
      <c r="D73" s="139"/>
      <c r="E73" s="139"/>
      <c r="F73" s="139"/>
      <c r="G73" s="139"/>
      <c r="H73" s="120"/>
    </row>
    <row r="74" spans="1:8" s="4" customFormat="1" ht="23.25" x14ac:dyDescent="0.25">
      <c r="A74" s="39">
        <v>124.01</v>
      </c>
      <c r="B74" s="69">
        <f>+B73+0.01</f>
        <v>9.01</v>
      </c>
      <c r="C74" s="82" t="s">
        <v>42</v>
      </c>
      <c r="D74" s="130">
        <f>9.18*17.4</f>
        <v>159.73199999999997</v>
      </c>
      <c r="E74" s="130" t="s">
        <v>10</v>
      </c>
      <c r="F74" s="131"/>
      <c r="G74" s="132"/>
      <c r="H74" s="57"/>
    </row>
    <row r="75" spans="1:8" s="4" customFormat="1" ht="27.75" customHeight="1" x14ac:dyDescent="0.25">
      <c r="A75" s="4" t="s">
        <v>164</v>
      </c>
      <c r="B75" s="72">
        <f>+B74+0.01</f>
        <v>9.02</v>
      </c>
      <c r="C75" s="73" t="s">
        <v>163</v>
      </c>
      <c r="D75" s="134">
        <f>+D74</f>
        <v>159.73199999999997</v>
      </c>
      <c r="E75" s="134" t="s">
        <v>10</v>
      </c>
      <c r="F75" s="131"/>
      <c r="G75" s="135"/>
      <c r="H75" s="58"/>
    </row>
    <row r="76" spans="1:8" s="4" customFormat="1" ht="21" thickBot="1" x14ac:dyDescent="0.35">
      <c r="B76" s="29"/>
      <c r="C76" s="30"/>
      <c r="D76" s="136"/>
      <c r="E76" s="136"/>
      <c r="F76" s="136"/>
      <c r="G76" s="136"/>
      <c r="H76" s="59"/>
    </row>
    <row r="77" spans="1:8" s="4" customFormat="1" ht="21" thickBot="1" x14ac:dyDescent="0.3">
      <c r="B77" s="75">
        <v>10</v>
      </c>
      <c r="C77" s="76" t="s">
        <v>45</v>
      </c>
      <c r="D77" s="139"/>
      <c r="E77" s="139"/>
      <c r="F77" s="139"/>
      <c r="G77" s="139"/>
      <c r="H77" s="120"/>
    </row>
    <row r="78" spans="1:8" s="4" customFormat="1" ht="23.25" x14ac:dyDescent="0.25">
      <c r="A78" s="4" t="s">
        <v>154</v>
      </c>
      <c r="B78" s="69">
        <f>+B77+0.01</f>
        <v>10.01</v>
      </c>
      <c r="C78" s="82" t="s">
        <v>61</v>
      </c>
      <c r="D78" s="130">
        <f>(0.5*6)*8/6.096</f>
        <v>3.9370078740157481</v>
      </c>
      <c r="E78" s="130" t="s">
        <v>147</v>
      </c>
      <c r="F78" s="131"/>
      <c r="G78" s="132"/>
      <c r="H78" s="57"/>
    </row>
    <row r="79" spans="1:8" s="4" customFormat="1" ht="23.25" x14ac:dyDescent="0.25">
      <c r="A79" s="4" t="s">
        <v>155</v>
      </c>
      <c r="B79" s="72">
        <f>+B78+0.01</f>
        <v>10.02</v>
      </c>
      <c r="C79" s="71" t="s">
        <v>62</v>
      </c>
      <c r="D79" s="134">
        <f>(8*0.7*6)/6.096</f>
        <v>5.5118110236220463</v>
      </c>
      <c r="E79" s="134" t="s">
        <v>147</v>
      </c>
      <c r="F79" s="131"/>
      <c r="G79" s="135"/>
      <c r="H79" s="58"/>
    </row>
    <row r="80" spans="1:8" s="4" customFormat="1" ht="29.25" customHeight="1" x14ac:dyDescent="0.25">
      <c r="B80" s="72">
        <f>+B79+0.01</f>
        <v>10.029999999999999</v>
      </c>
      <c r="C80" s="73" t="s">
        <v>89</v>
      </c>
      <c r="D80" s="134">
        <f>0.72*8</f>
        <v>5.76</v>
      </c>
      <c r="E80" s="134" t="s">
        <v>10</v>
      </c>
      <c r="F80" s="149"/>
      <c r="G80" s="135"/>
      <c r="H80" s="58"/>
    </row>
    <row r="81" spans="1:8" s="4" customFormat="1" ht="54" customHeight="1" x14ac:dyDescent="0.25">
      <c r="B81" s="72">
        <f>+B80+0.01</f>
        <v>10.039999999999999</v>
      </c>
      <c r="C81" s="71" t="s">
        <v>63</v>
      </c>
      <c r="D81" s="134">
        <v>0.3</v>
      </c>
      <c r="E81" s="150" t="s">
        <v>166</v>
      </c>
      <c r="F81" s="149"/>
      <c r="G81" s="135"/>
      <c r="H81" s="58"/>
    </row>
    <row r="82" spans="1:8" s="4" customFormat="1" ht="21" thickBot="1" x14ac:dyDescent="0.35">
      <c r="B82" s="29"/>
      <c r="C82" s="30"/>
      <c r="D82" s="136"/>
      <c r="E82" s="136"/>
      <c r="F82" s="151"/>
      <c r="G82" s="136"/>
      <c r="H82" s="59"/>
    </row>
    <row r="83" spans="1:8" s="4" customFormat="1" ht="21" thickBot="1" x14ac:dyDescent="0.3">
      <c r="B83" s="75">
        <v>11</v>
      </c>
      <c r="C83" s="76" t="s">
        <v>98</v>
      </c>
      <c r="D83" s="139"/>
      <c r="E83" s="139"/>
      <c r="F83" s="139"/>
      <c r="G83" s="139"/>
      <c r="H83" s="56"/>
    </row>
    <row r="84" spans="1:8" s="4" customFormat="1" ht="23.25" x14ac:dyDescent="0.25">
      <c r="A84" s="39">
        <v>116.06000000000003</v>
      </c>
      <c r="B84" s="69">
        <f t="shared" ref="B84:B89" si="3">+B83+0.01</f>
        <v>11.01</v>
      </c>
      <c r="C84" s="82" t="s">
        <v>59</v>
      </c>
      <c r="D84" s="130">
        <v>2</v>
      </c>
      <c r="E84" s="130" t="s">
        <v>11</v>
      </c>
      <c r="F84" s="131"/>
      <c r="G84" s="132"/>
      <c r="H84" s="57"/>
    </row>
    <row r="85" spans="1:8" s="4" customFormat="1" ht="29.25" customHeight="1" x14ac:dyDescent="0.35">
      <c r="A85" s="39">
        <v>116.10000000000005</v>
      </c>
      <c r="B85" s="72">
        <f t="shared" si="3"/>
        <v>11.02</v>
      </c>
      <c r="C85" s="109" t="s">
        <v>60</v>
      </c>
      <c r="D85" s="134">
        <v>2</v>
      </c>
      <c r="E85" s="134" t="s">
        <v>11</v>
      </c>
      <c r="F85" s="131"/>
      <c r="G85" s="135"/>
      <c r="H85" s="58"/>
    </row>
    <row r="86" spans="1:8" s="4" customFormat="1" ht="23.25" x14ac:dyDescent="0.25">
      <c r="A86" s="4">
        <v>116.18000000000009</v>
      </c>
      <c r="B86" s="72">
        <f t="shared" si="3"/>
        <v>11.03</v>
      </c>
      <c r="C86" s="73" t="s">
        <v>64</v>
      </c>
      <c r="D86" s="134">
        <v>2</v>
      </c>
      <c r="E86" s="134" t="s">
        <v>11</v>
      </c>
      <c r="F86" s="131"/>
      <c r="G86" s="135"/>
      <c r="H86" s="58"/>
    </row>
    <row r="87" spans="1:8" s="4" customFormat="1" ht="23.25" x14ac:dyDescent="0.25">
      <c r="B87" s="72">
        <f t="shared" si="3"/>
        <v>11.04</v>
      </c>
      <c r="C87" s="73" t="s">
        <v>65</v>
      </c>
      <c r="D87" s="134">
        <v>1</v>
      </c>
      <c r="E87" s="134" t="s">
        <v>25</v>
      </c>
      <c r="F87" s="149"/>
      <c r="G87" s="135"/>
      <c r="H87" s="58"/>
    </row>
    <row r="88" spans="1:8" s="4" customFormat="1" ht="23.25" x14ac:dyDescent="0.3">
      <c r="A88" s="108">
        <v>116.3900000000002</v>
      </c>
      <c r="B88" s="72">
        <f t="shared" si="3"/>
        <v>11.049999999999999</v>
      </c>
      <c r="C88" s="73" t="s">
        <v>167</v>
      </c>
      <c r="D88" s="134">
        <v>1</v>
      </c>
      <c r="E88" s="134" t="s">
        <v>11</v>
      </c>
      <c r="F88" s="149"/>
      <c r="G88" s="135"/>
      <c r="H88" s="58"/>
    </row>
    <row r="89" spans="1:8" s="4" customFormat="1" ht="23.25" x14ac:dyDescent="0.25">
      <c r="B89" s="72">
        <f t="shared" si="3"/>
        <v>11.059999999999999</v>
      </c>
      <c r="C89" s="73" t="s">
        <v>159</v>
      </c>
      <c r="D89" s="134">
        <v>1</v>
      </c>
      <c r="E89" s="134" t="s">
        <v>11</v>
      </c>
      <c r="F89" s="149"/>
      <c r="G89" s="135"/>
      <c r="H89" s="58"/>
    </row>
    <row r="90" spans="1:8" s="4" customFormat="1" ht="21" thickBot="1" x14ac:dyDescent="0.35">
      <c r="B90" s="29"/>
      <c r="C90" s="30"/>
      <c r="D90" s="136"/>
      <c r="E90" s="136"/>
      <c r="F90" s="151"/>
      <c r="G90" s="136"/>
      <c r="H90" s="59"/>
    </row>
    <row r="91" spans="1:8" s="4" customFormat="1" ht="23.25" thickBot="1" x14ac:dyDescent="0.35">
      <c r="B91" s="67">
        <v>12</v>
      </c>
      <c r="C91" s="74" t="s">
        <v>99</v>
      </c>
      <c r="D91" s="138"/>
      <c r="E91" s="138"/>
      <c r="F91" s="138"/>
      <c r="G91" s="138"/>
      <c r="H91" s="121"/>
    </row>
    <row r="92" spans="1:8" s="4" customFormat="1" ht="23.25" x14ac:dyDescent="0.25">
      <c r="A92" s="4" t="str">
        <f>+'[1]MATERIALES E INSUMOS'!$A$1189</f>
        <v>ELECT110</v>
      </c>
      <c r="B92" s="69">
        <f>+B91+0.01</f>
        <v>12.01</v>
      </c>
      <c r="C92" s="82" t="s">
        <v>77</v>
      </c>
      <c r="D92" s="130">
        <v>2</v>
      </c>
      <c r="E92" s="130" t="s">
        <v>11</v>
      </c>
      <c r="F92" s="131"/>
      <c r="G92" s="132"/>
      <c r="H92" s="57"/>
    </row>
    <row r="93" spans="1:8" s="4" customFormat="1" ht="23.25" x14ac:dyDescent="0.25">
      <c r="B93" s="72">
        <f t="shared" ref="B93:B103" si="4">+B92+0.01</f>
        <v>12.02</v>
      </c>
      <c r="C93" s="73" t="s">
        <v>78</v>
      </c>
      <c r="D93" s="134">
        <v>6</v>
      </c>
      <c r="E93" s="134" t="s">
        <v>11</v>
      </c>
      <c r="F93" s="149"/>
      <c r="G93" s="135"/>
      <c r="H93" s="58"/>
    </row>
    <row r="94" spans="1:8" s="4" customFormat="1" ht="23.25" x14ac:dyDescent="0.25">
      <c r="B94" s="72">
        <f t="shared" si="4"/>
        <v>12.03</v>
      </c>
      <c r="C94" s="73" t="s">
        <v>79</v>
      </c>
      <c r="D94" s="134">
        <v>6</v>
      </c>
      <c r="E94" s="134" t="s">
        <v>11</v>
      </c>
      <c r="F94" s="149"/>
      <c r="G94" s="135"/>
      <c r="H94" s="58"/>
    </row>
    <row r="95" spans="1:8" s="4" customFormat="1" ht="30.75" customHeight="1" x14ac:dyDescent="0.25">
      <c r="B95" s="72">
        <f t="shared" si="4"/>
        <v>12.04</v>
      </c>
      <c r="C95" s="73" t="s">
        <v>80</v>
      </c>
      <c r="D95" s="134">
        <v>1</v>
      </c>
      <c r="E95" s="134" t="s">
        <v>11</v>
      </c>
      <c r="F95" s="149"/>
      <c r="G95" s="147"/>
      <c r="H95" s="58"/>
    </row>
    <row r="96" spans="1:8" s="4" customFormat="1" ht="23.25" x14ac:dyDescent="0.25">
      <c r="A96" s="39">
        <v>117.02000000000001</v>
      </c>
      <c r="B96" s="72">
        <f t="shared" si="4"/>
        <v>12.049999999999999</v>
      </c>
      <c r="C96" s="73" t="s">
        <v>83</v>
      </c>
      <c r="D96" s="134">
        <v>4</v>
      </c>
      <c r="E96" s="134" t="s">
        <v>11</v>
      </c>
      <c r="F96" s="131"/>
      <c r="G96" s="135"/>
      <c r="H96" s="159"/>
    </row>
    <row r="97" spans="1:9" s="4" customFormat="1" ht="23.25" x14ac:dyDescent="0.25">
      <c r="A97" s="39">
        <v>117.03000000000002</v>
      </c>
      <c r="B97" s="72">
        <f t="shared" si="4"/>
        <v>12.059999999999999</v>
      </c>
      <c r="C97" s="73" t="s">
        <v>82</v>
      </c>
      <c r="D97" s="134">
        <v>2</v>
      </c>
      <c r="E97" s="134" t="s">
        <v>11</v>
      </c>
      <c r="F97" s="131"/>
      <c r="G97" s="135"/>
      <c r="H97" s="58"/>
    </row>
    <row r="98" spans="1:9" s="4" customFormat="1" ht="23.25" x14ac:dyDescent="0.25">
      <c r="A98" s="39">
        <v>117.02000000000001</v>
      </c>
      <c r="B98" s="72">
        <f t="shared" si="4"/>
        <v>12.069999999999999</v>
      </c>
      <c r="C98" s="73" t="s">
        <v>81</v>
      </c>
      <c r="D98" s="134">
        <v>2</v>
      </c>
      <c r="E98" s="134" t="s">
        <v>11</v>
      </c>
      <c r="F98" s="131"/>
      <c r="G98" s="135"/>
      <c r="H98" s="58"/>
    </row>
    <row r="99" spans="1:9" s="4" customFormat="1" ht="23.25" x14ac:dyDescent="0.25">
      <c r="B99" s="72">
        <f t="shared" si="4"/>
        <v>12.079999999999998</v>
      </c>
      <c r="C99" s="73" t="s">
        <v>84</v>
      </c>
      <c r="D99" s="134">
        <v>3</v>
      </c>
      <c r="E99" s="134" t="s">
        <v>11</v>
      </c>
      <c r="F99" s="149"/>
      <c r="G99" s="135"/>
      <c r="H99" s="58"/>
    </row>
    <row r="100" spans="1:9" s="4" customFormat="1" ht="23.25" x14ac:dyDescent="0.25">
      <c r="A100" s="4">
        <v>117.09000000000005</v>
      </c>
      <c r="B100" s="72">
        <f t="shared" si="4"/>
        <v>12.089999999999998</v>
      </c>
      <c r="C100" s="73" t="s">
        <v>85</v>
      </c>
      <c r="D100" s="134">
        <v>1</v>
      </c>
      <c r="E100" s="134" t="s">
        <v>11</v>
      </c>
      <c r="F100" s="144"/>
      <c r="G100" s="135"/>
      <c r="H100" s="58"/>
    </row>
    <row r="101" spans="1:9" s="4" customFormat="1" ht="23.25" x14ac:dyDescent="0.25">
      <c r="A101" s="39">
        <v>117.06000000000003</v>
      </c>
      <c r="B101" s="72">
        <f t="shared" si="4"/>
        <v>12.099999999999998</v>
      </c>
      <c r="C101" s="73" t="s">
        <v>86</v>
      </c>
      <c r="D101" s="134">
        <v>8</v>
      </c>
      <c r="E101" s="134" t="s">
        <v>11</v>
      </c>
      <c r="F101" s="144"/>
      <c r="G101" s="135"/>
      <c r="H101" s="58"/>
    </row>
    <row r="102" spans="1:9" s="4" customFormat="1" ht="23.25" x14ac:dyDescent="0.25">
      <c r="B102" s="72">
        <f t="shared" si="4"/>
        <v>12.109999999999998</v>
      </c>
      <c r="C102" s="73" t="s">
        <v>43</v>
      </c>
      <c r="D102" s="134">
        <v>1</v>
      </c>
      <c r="E102" s="134" t="s">
        <v>11</v>
      </c>
      <c r="F102" s="149"/>
      <c r="G102" s="135"/>
      <c r="H102" s="58"/>
    </row>
    <row r="103" spans="1:9" s="4" customFormat="1" ht="23.25" x14ac:dyDescent="0.25">
      <c r="B103" s="72">
        <f t="shared" si="4"/>
        <v>12.119999999999997</v>
      </c>
      <c r="C103" s="73" t="s">
        <v>44</v>
      </c>
      <c r="D103" s="134">
        <v>1</v>
      </c>
      <c r="E103" s="134" t="s">
        <v>25</v>
      </c>
      <c r="F103" s="149"/>
      <c r="G103" s="135"/>
      <c r="H103" s="58"/>
    </row>
    <row r="104" spans="1:9" s="4" customFormat="1" ht="21" thickBot="1" x14ac:dyDescent="0.35">
      <c r="B104" s="29"/>
      <c r="C104" s="30"/>
      <c r="D104" s="136"/>
      <c r="E104" s="136"/>
      <c r="F104" s="137"/>
      <c r="G104" s="136"/>
      <c r="H104" s="59"/>
    </row>
    <row r="105" spans="1:9" s="4" customFormat="1" ht="21" thickBot="1" x14ac:dyDescent="0.3">
      <c r="B105" s="75">
        <v>13</v>
      </c>
      <c r="C105" s="76" t="s">
        <v>121</v>
      </c>
      <c r="D105" s="139"/>
      <c r="E105" s="139"/>
      <c r="F105" s="139"/>
      <c r="G105" s="139"/>
      <c r="H105" s="120"/>
    </row>
    <row r="106" spans="1:9" s="4" customFormat="1" ht="23.25" x14ac:dyDescent="0.25">
      <c r="A106" s="42"/>
      <c r="B106" s="69">
        <f>+B105+0.01</f>
        <v>13.01</v>
      </c>
      <c r="C106" s="82" t="s">
        <v>70</v>
      </c>
      <c r="D106" s="130">
        <v>1.3891500000000001</v>
      </c>
      <c r="E106" s="130" t="s">
        <v>8</v>
      </c>
      <c r="F106" s="131"/>
      <c r="G106" s="132"/>
      <c r="H106" s="57"/>
      <c r="I106" s="4">
        <f>1*2+1.8*2</f>
        <v>5.6</v>
      </c>
    </row>
    <row r="107" spans="1:9" s="4" customFormat="1" ht="23.25" x14ac:dyDescent="0.25">
      <c r="B107" s="72">
        <f>+B106+0.01</f>
        <v>13.02</v>
      </c>
      <c r="C107" s="71" t="s">
        <v>15</v>
      </c>
      <c r="D107" s="134">
        <v>0.53508000000000011</v>
      </c>
      <c r="E107" s="134" t="s">
        <v>13</v>
      </c>
      <c r="F107" s="144"/>
      <c r="G107" s="135"/>
      <c r="H107" s="58"/>
    </row>
    <row r="108" spans="1:9" s="4" customFormat="1" ht="23.25" x14ac:dyDescent="0.25">
      <c r="B108" s="72">
        <f t="shared" ref="B108:B117" si="5">+B107+0.01</f>
        <v>13.03</v>
      </c>
      <c r="C108" s="73" t="s">
        <v>16</v>
      </c>
      <c r="D108" s="134">
        <f>+((D106-D107))*1.25</f>
        <v>1.0675874999999999</v>
      </c>
      <c r="E108" s="134" t="s">
        <v>12</v>
      </c>
      <c r="F108" s="144"/>
      <c r="G108" s="135"/>
      <c r="H108" s="58"/>
    </row>
    <row r="109" spans="1:9" s="4" customFormat="1" ht="46.5" x14ac:dyDescent="0.25">
      <c r="A109" s="4">
        <v>103.16000000000007</v>
      </c>
      <c r="B109" s="72">
        <f t="shared" si="5"/>
        <v>13.04</v>
      </c>
      <c r="C109" s="71" t="s">
        <v>71</v>
      </c>
      <c r="D109" s="134">
        <f>6.86*0.45*0.2</f>
        <v>0.61740000000000006</v>
      </c>
      <c r="E109" s="134" t="s">
        <v>8</v>
      </c>
      <c r="F109" s="131"/>
      <c r="G109" s="135"/>
      <c r="H109" s="58"/>
    </row>
    <row r="110" spans="1:9" s="4" customFormat="1" ht="23.25" x14ac:dyDescent="0.25">
      <c r="B110" s="72">
        <f t="shared" si="5"/>
        <v>13.049999999999999</v>
      </c>
      <c r="C110" s="71" t="s">
        <v>72</v>
      </c>
      <c r="D110" s="134">
        <v>1.3720000000000001</v>
      </c>
      <c r="E110" s="134" t="s">
        <v>10</v>
      </c>
      <c r="F110" s="144"/>
      <c r="G110" s="135"/>
      <c r="H110" s="58"/>
    </row>
    <row r="111" spans="1:9" s="4" customFormat="1" ht="23.25" x14ac:dyDescent="0.25">
      <c r="B111" s="72">
        <f t="shared" si="5"/>
        <v>13.059999999999999</v>
      </c>
      <c r="C111" s="71" t="s">
        <v>73</v>
      </c>
      <c r="D111" s="134">
        <v>2.7440000000000002</v>
      </c>
      <c r="E111" s="134" t="s">
        <v>10</v>
      </c>
      <c r="F111" s="144"/>
      <c r="G111" s="135"/>
      <c r="H111" s="58"/>
    </row>
    <row r="112" spans="1:9" s="4" customFormat="1" ht="23.25" x14ac:dyDescent="0.25">
      <c r="B112" s="72">
        <f t="shared" si="5"/>
        <v>13.069999999999999</v>
      </c>
      <c r="C112" s="71" t="s">
        <v>66</v>
      </c>
      <c r="D112" s="134">
        <v>5.4880000000000004</v>
      </c>
      <c r="E112" s="134" t="s">
        <v>10</v>
      </c>
      <c r="F112" s="144"/>
      <c r="G112" s="135"/>
      <c r="H112" s="58"/>
    </row>
    <row r="113" spans="1:9" s="4" customFormat="1" ht="23.25" x14ac:dyDescent="0.25">
      <c r="B113" s="72">
        <f t="shared" si="5"/>
        <v>13.079999999999998</v>
      </c>
      <c r="C113" s="71" t="s">
        <v>67</v>
      </c>
      <c r="D113" s="134">
        <v>14.520000000000001</v>
      </c>
      <c r="E113" s="134" t="s">
        <v>7</v>
      </c>
      <c r="F113" s="144"/>
      <c r="G113" s="135"/>
      <c r="H113" s="58"/>
    </row>
    <row r="114" spans="1:9" s="4" customFormat="1" ht="23.25" x14ac:dyDescent="0.25">
      <c r="B114" s="72">
        <f t="shared" si="5"/>
        <v>13.089999999999998</v>
      </c>
      <c r="C114" s="71" t="s">
        <v>68</v>
      </c>
      <c r="D114" s="134">
        <v>5.4880000000000004</v>
      </c>
      <c r="E114" s="134" t="s">
        <v>10</v>
      </c>
      <c r="F114" s="144"/>
      <c r="G114" s="135"/>
      <c r="H114" s="58"/>
    </row>
    <row r="115" spans="1:9" s="4" customFormat="1" ht="23.25" x14ac:dyDescent="0.25">
      <c r="A115" s="4" t="s">
        <v>162</v>
      </c>
      <c r="B115" s="72">
        <f t="shared" si="5"/>
        <v>13.099999999999998</v>
      </c>
      <c r="C115" s="71" t="s">
        <v>69</v>
      </c>
      <c r="D115" s="134">
        <v>0.6</v>
      </c>
      <c r="E115" s="134" t="s">
        <v>8</v>
      </c>
      <c r="F115" s="131"/>
      <c r="G115" s="135"/>
      <c r="H115" s="58"/>
    </row>
    <row r="116" spans="1:9" s="4" customFormat="1" ht="23.25" x14ac:dyDescent="0.25">
      <c r="A116" s="4" t="s">
        <v>161</v>
      </c>
      <c r="B116" s="72">
        <f t="shared" si="5"/>
        <v>13.109999999999998</v>
      </c>
      <c r="C116" s="71" t="s">
        <v>75</v>
      </c>
      <c r="D116" s="134">
        <v>15</v>
      </c>
      <c r="E116" s="134" t="s">
        <v>11</v>
      </c>
      <c r="F116" s="131"/>
      <c r="G116" s="135"/>
      <c r="H116" s="58"/>
    </row>
    <row r="117" spans="1:9" s="4" customFormat="1" ht="23.25" x14ac:dyDescent="0.25">
      <c r="A117" s="4" t="s">
        <v>160</v>
      </c>
      <c r="B117" s="72">
        <f t="shared" si="5"/>
        <v>13.119999999999997</v>
      </c>
      <c r="C117" s="71" t="s">
        <v>76</v>
      </c>
      <c r="D117" s="134">
        <v>15</v>
      </c>
      <c r="E117" s="134" t="s">
        <v>11</v>
      </c>
      <c r="F117" s="131"/>
      <c r="G117" s="135"/>
      <c r="H117" s="58"/>
    </row>
    <row r="118" spans="1:9" s="4" customFormat="1" ht="21" thickBot="1" x14ac:dyDescent="0.35">
      <c r="B118" s="29"/>
      <c r="C118" s="30"/>
      <c r="D118" s="136"/>
      <c r="E118" s="136"/>
      <c r="F118" s="136"/>
      <c r="G118" s="136"/>
      <c r="H118" s="59"/>
    </row>
    <row r="119" spans="1:9" s="4" customFormat="1" ht="21" thickBot="1" x14ac:dyDescent="0.3">
      <c r="B119" s="83">
        <v>14</v>
      </c>
      <c r="C119" s="84" t="s">
        <v>120</v>
      </c>
      <c r="D119" s="152"/>
      <c r="E119" s="152"/>
      <c r="F119" s="152"/>
      <c r="G119" s="152"/>
      <c r="H119" s="120"/>
    </row>
    <row r="120" spans="1:9" s="4" customFormat="1" ht="21" thickBot="1" x14ac:dyDescent="0.3">
      <c r="B120" s="85" t="s">
        <v>119</v>
      </c>
      <c r="C120" s="86" t="s">
        <v>118</v>
      </c>
      <c r="D120" s="153"/>
      <c r="E120" s="153"/>
      <c r="F120" s="153"/>
      <c r="G120" s="153"/>
      <c r="H120" s="63"/>
    </row>
    <row r="121" spans="1:9" s="4" customFormat="1" ht="23.25" x14ac:dyDescent="0.25">
      <c r="B121" s="69">
        <v>1.01</v>
      </c>
      <c r="C121" s="82" t="s">
        <v>122</v>
      </c>
      <c r="D121" s="130">
        <f>18.78*0.45*0.45</f>
        <v>3.8029500000000005</v>
      </c>
      <c r="E121" s="130" t="s">
        <v>8</v>
      </c>
      <c r="F121" s="131"/>
      <c r="G121" s="132"/>
      <c r="H121" s="57"/>
      <c r="I121" s="4">
        <f>9.39*2</f>
        <v>18.78</v>
      </c>
    </row>
    <row r="122" spans="1:9" s="4" customFormat="1" ht="23.25" x14ac:dyDescent="0.25">
      <c r="B122" s="72">
        <f>+B121+0.01</f>
        <v>1.02</v>
      </c>
      <c r="C122" s="71" t="s">
        <v>15</v>
      </c>
      <c r="D122" s="134">
        <f>+(0.45-0.15)*(0.45-0.2)*18.78*1.3</f>
        <v>1.8310500000000005</v>
      </c>
      <c r="E122" s="134" t="s">
        <v>13</v>
      </c>
      <c r="F122" s="144"/>
      <c r="G122" s="135"/>
      <c r="H122" s="58"/>
    </row>
    <row r="123" spans="1:9" s="4" customFormat="1" ht="23.25" x14ac:dyDescent="0.25">
      <c r="B123" s="72">
        <f t="shared" ref="B123:B132" si="6">+B122+0.01</f>
        <v>1.03</v>
      </c>
      <c r="C123" s="73" t="s">
        <v>16</v>
      </c>
      <c r="D123" s="134">
        <f>+((D121-D122))*1.25</f>
        <v>2.4648750000000001</v>
      </c>
      <c r="E123" s="134" t="s">
        <v>12</v>
      </c>
      <c r="F123" s="144"/>
      <c r="G123" s="135"/>
      <c r="H123" s="58"/>
    </row>
    <row r="124" spans="1:9" s="4" customFormat="1" ht="46.5" x14ac:dyDescent="0.25">
      <c r="B124" s="72">
        <f t="shared" si="6"/>
        <v>1.04</v>
      </c>
      <c r="C124" s="71" t="s">
        <v>123</v>
      </c>
      <c r="D124" s="134">
        <f>18.78*0.45*0.2</f>
        <v>1.6902000000000001</v>
      </c>
      <c r="E124" s="134" t="s">
        <v>8</v>
      </c>
      <c r="F124" s="144"/>
      <c r="G124" s="135"/>
      <c r="H124" s="58"/>
    </row>
    <row r="125" spans="1:9" s="4" customFormat="1" ht="23.25" x14ac:dyDescent="0.25">
      <c r="B125" s="72">
        <f t="shared" si="6"/>
        <v>1.05</v>
      </c>
      <c r="C125" s="71" t="s">
        <v>72</v>
      </c>
      <c r="D125" s="134">
        <f>18.78*0.2</f>
        <v>3.7560000000000002</v>
      </c>
      <c r="E125" s="134" t="s">
        <v>10</v>
      </c>
      <c r="F125" s="144"/>
      <c r="G125" s="135"/>
      <c r="H125" s="58"/>
    </row>
    <row r="126" spans="1:9" s="4" customFormat="1" ht="23.25" x14ac:dyDescent="0.25">
      <c r="B126" s="72">
        <f t="shared" si="6"/>
        <v>1.06</v>
      </c>
      <c r="C126" s="71" t="s">
        <v>73</v>
      </c>
      <c r="D126" s="134">
        <f>18.78*0.4</f>
        <v>7.5120000000000005</v>
      </c>
      <c r="E126" s="134" t="s">
        <v>10</v>
      </c>
      <c r="F126" s="144"/>
      <c r="G126" s="135"/>
      <c r="H126" s="58"/>
    </row>
    <row r="127" spans="1:9" s="4" customFormat="1" ht="23.25" x14ac:dyDescent="0.25">
      <c r="B127" s="72">
        <f t="shared" si="6"/>
        <v>1.07</v>
      </c>
      <c r="C127" s="71" t="s">
        <v>66</v>
      </c>
      <c r="D127" s="134">
        <f>+D126*2+18.78*0.15</f>
        <v>17.841000000000001</v>
      </c>
      <c r="E127" s="134" t="s">
        <v>10</v>
      </c>
      <c r="F127" s="144"/>
      <c r="G127" s="135"/>
      <c r="H127" s="58"/>
    </row>
    <row r="128" spans="1:9" s="4" customFormat="1" ht="23.25" x14ac:dyDescent="0.25">
      <c r="B128" s="72">
        <f t="shared" si="6"/>
        <v>1.08</v>
      </c>
      <c r="C128" s="71" t="s">
        <v>67</v>
      </c>
      <c r="D128" s="134">
        <f>18.78*2</f>
        <v>37.56</v>
      </c>
      <c r="E128" s="134" t="s">
        <v>7</v>
      </c>
      <c r="F128" s="144"/>
      <c r="G128" s="135"/>
      <c r="H128" s="58"/>
    </row>
    <row r="129" spans="2:8" s="4" customFormat="1" ht="23.25" x14ac:dyDescent="0.25">
      <c r="B129" s="72">
        <f t="shared" si="6"/>
        <v>1.0900000000000001</v>
      </c>
      <c r="C129" s="71" t="s">
        <v>124</v>
      </c>
      <c r="D129" s="134">
        <f>+D127</f>
        <v>17.841000000000001</v>
      </c>
      <c r="E129" s="134" t="s">
        <v>10</v>
      </c>
      <c r="F129" s="144"/>
      <c r="G129" s="135"/>
      <c r="H129" s="58"/>
    </row>
    <row r="130" spans="2:8" s="4" customFormat="1" ht="23.25" x14ac:dyDescent="0.25">
      <c r="B130" s="72">
        <f t="shared" si="6"/>
        <v>1.1000000000000001</v>
      </c>
      <c r="C130" s="71" t="s">
        <v>69</v>
      </c>
      <c r="D130" s="134">
        <f>4.78*0.4*2</f>
        <v>3.8240000000000003</v>
      </c>
      <c r="E130" s="134" t="s">
        <v>8</v>
      </c>
      <c r="F130" s="144"/>
      <c r="G130" s="135"/>
      <c r="H130" s="58"/>
    </row>
    <row r="131" spans="2:8" s="4" customFormat="1" ht="23.25" x14ac:dyDescent="0.25">
      <c r="B131" s="72">
        <f t="shared" si="6"/>
        <v>1.1100000000000001</v>
      </c>
      <c r="C131" s="71" t="s">
        <v>75</v>
      </c>
      <c r="D131" s="134">
        <v>20</v>
      </c>
      <c r="E131" s="134" t="s">
        <v>11</v>
      </c>
      <c r="F131" s="144"/>
      <c r="G131" s="135"/>
      <c r="H131" s="58"/>
    </row>
    <row r="132" spans="2:8" s="4" customFormat="1" ht="23.25" x14ac:dyDescent="0.25">
      <c r="B132" s="72">
        <f t="shared" si="6"/>
        <v>1.1200000000000001</v>
      </c>
      <c r="C132" s="71" t="s">
        <v>76</v>
      </c>
      <c r="D132" s="134">
        <v>20</v>
      </c>
      <c r="E132" s="134" t="s">
        <v>11</v>
      </c>
      <c r="F132" s="144"/>
      <c r="G132" s="135"/>
      <c r="H132" s="58"/>
    </row>
    <row r="133" spans="2:8" s="4" customFormat="1" ht="21" thickBot="1" x14ac:dyDescent="0.35">
      <c r="B133" s="29"/>
      <c r="C133" s="30"/>
      <c r="D133" s="136"/>
      <c r="E133" s="136"/>
      <c r="F133" s="136"/>
      <c r="G133" s="136"/>
      <c r="H133" s="59"/>
    </row>
    <row r="134" spans="2:8" s="4" customFormat="1" ht="21" thickBot="1" x14ac:dyDescent="0.3">
      <c r="B134" s="85" t="s">
        <v>125</v>
      </c>
      <c r="C134" s="86" t="s">
        <v>127</v>
      </c>
      <c r="D134" s="153"/>
      <c r="E134" s="153"/>
      <c r="F134" s="153"/>
      <c r="G134" s="153"/>
      <c r="H134" s="122"/>
    </row>
    <row r="135" spans="2:8" s="4" customFormat="1" ht="23.25" x14ac:dyDescent="0.25">
      <c r="B135" s="69">
        <v>1.01</v>
      </c>
      <c r="C135" s="82" t="s">
        <v>126</v>
      </c>
      <c r="D135" s="130">
        <f>26.1*0.45*0.45</f>
        <v>5.2852500000000004</v>
      </c>
      <c r="E135" s="130" t="s">
        <v>8</v>
      </c>
      <c r="F135" s="131"/>
      <c r="G135" s="132"/>
      <c r="H135" s="57"/>
    </row>
    <row r="136" spans="2:8" s="4" customFormat="1" ht="23.25" x14ac:dyDescent="0.25">
      <c r="B136" s="72">
        <f>+B135+0.01</f>
        <v>1.02</v>
      </c>
      <c r="C136" s="71" t="s">
        <v>15</v>
      </c>
      <c r="D136" s="134">
        <f>+(0.45-0.15)*(0.45-0.2)*26.1*1.3</f>
        <v>2.5447500000000005</v>
      </c>
      <c r="E136" s="134" t="s">
        <v>13</v>
      </c>
      <c r="F136" s="144"/>
      <c r="G136" s="135"/>
      <c r="H136" s="58"/>
    </row>
    <row r="137" spans="2:8" s="4" customFormat="1" ht="23.25" x14ac:dyDescent="0.25">
      <c r="B137" s="72">
        <f t="shared" ref="B137:B146" si="7">+B136+0.01</f>
        <v>1.03</v>
      </c>
      <c r="C137" s="73" t="s">
        <v>16</v>
      </c>
      <c r="D137" s="134">
        <f>+((D135-D136))*1.25</f>
        <v>3.4256250000000001</v>
      </c>
      <c r="E137" s="134" t="s">
        <v>12</v>
      </c>
      <c r="F137" s="144"/>
      <c r="G137" s="135"/>
      <c r="H137" s="58"/>
    </row>
    <row r="138" spans="2:8" s="4" customFormat="1" ht="46.5" x14ac:dyDescent="0.25">
      <c r="B138" s="72">
        <f t="shared" si="7"/>
        <v>1.04</v>
      </c>
      <c r="C138" s="71" t="s">
        <v>128</v>
      </c>
      <c r="D138" s="134">
        <f>26.1*0.45*0.2</f>
        <v>2.3490000000000002</v>
      </c>
      <c r="E138" s="134" t="s">
        <v>8</v>
      </c>
      <c r="F138" s="144"/>
      <c r="G138" s="147"/>
      <c r="H138" s="58"/>
    </row>
    <row r="139" spans="2:8" s="4" customFormat="1" ht="26.25" customHeight="1" x14ac:dyDescent="0.25">
      <c r="B139" s="72">
        <f t="shared" si="7"/>
        <v>1.05</v>
      </c>
      <c r="C139" s="71" t="s">
        <v>72</v>
      </c>
      <c r="D139" s="134">
        <f>26.1*0.2</f>
        <v>5.2200000000000006</v>
      </c>
      <c r="E139" s="134" t="s">
        <v>10</v>
      </c>
      <c r="F139" s="144"/>
      <c r="G139" s="147"/>
      <c r="H139" s="58"/>
    </row>
    <row r="140" spans="2:8" s="4" customFormat="1" ht="27.75" customHeight="1" x14ac:dyDescent="0.25">
      <c r="B140" s="72">
        <f t="shared" si="7"/>
        <v>1.06</v>
      </c>
      <c r="C140" s="71" t="s">
        <v>73</v>
      </c>
      <c r="D140" s="134">
        <f>26.1*0.4</f>
        <v>10.440000000000001</v>
      </c>
      <c r="E140" s="134" t="s">
        <v>10</v>
      </c>
      <c r="F140" s="144"/>
      <c r="G140" s="135"/>
      <c r="H140" s="58"/>
    </row>
    <row r="141" spans="2:8" s="4" customFormat="1" ht="25.5" customHeight="1" x14ac:dyDescent="0.25">
      <c r="B141" s="72">
        <f t="shared" si="7"/>
        <v>1.07</v>
      </c>
      <c r="C141" s="71" t="s">
        <v>66</v>
      </c>
      <c r="D141" s="134">
        <f>+D140*2+26.1*0.15</f>
        <v>24.795000000000002</v>
      </c>
      <c r="E141" s="134" t="s">
        <v>10</v>
      </c>
      <c r="F141" s="144"/>
      <c r="G141" s="135"/>
      <c r="H141" s="58"/>
    </row>
    <row r="142" spans="2:8" s="4" customFormat="1" ht="23.25" x14ac:dyDescent="0.25">
      <c r="B142" s="72">
        <f t="shared" si="7"/>
        <v>1.08</v>
      </c>
      <c r="C142" s="71" t="s">
        <v>67</v>
      </c>
      <c r="D142" s="134">
        <f>26.1*2</f>
        <v>52.2</v>
      </c>
      <c r="E142" s="134" t="s">
        <v>7</v>
      </c>
      <c r="F142" s="144"/>
      <c r="G142" s="135"/>
      <c r="H142" s="58"/>
    </row>
    <row r="143" spans="2:8" s="4" customFormat="1" ht="26.25" customHeight="1" x14ac:dyDescent="0.25">
      <c r="B143" s="72">
        <f t="shared" si="7"/>
        <v>1.0900000000000001</v>
      </c>
      <c r="C143" s="71" t="s">
        <v>124</v>
      </c>
      <c r="D143" s="134">
        <f>+D141</f>
        <v>24.795000000000002</v>
      </c>
      <c r="E143" s="134" t="s">
        <v>10</v>
      </c>
      <c r="F143" s="144"/>
      <c r="G143" s="135"/>
      <c r="H143" s="58"/>
    </row>
    <row r="144" spans="2:8" s="4" customFormat="1" ht="27" customHeight="1" x14ac:dyDescent="0.25">
      <c r="B144" s="72">
        <f t="shared" si="7"/>
        <v>1.1000000000000001</v>
      </c>
      <c r="C144" s="71" t="s">
        <v>69</v>
      </c>
      <c r="D144" s="134">
        <f>24.19*0.4</f>
        <v>9.6760000000000019</v>
      </c>
      <c r="E144" s="134" t="s">
        <v>8</v>
      </c>
      <c r="F144" s="144"/>
      <c r="G144" s="135"/>
      <c r="H144" s="58"/>
    </row>
    <row r="145" spans="1:8" s="4" customFormat="1" ht="26.25" customHeight="1" x14ac:dyDescent="0.25">
      <c r="B145" s="72">
        <f t="shared" si="7"/>
        <v>1.1100000000000001</v>
      </c>
      <c r="C145" s="71" t="s">
        <v>75</v>
      </c>
      <c r="D145" s="134">
        <v>15</v>
      </c>
      <c r="E145" s="134" t="s">
        <v>11</v>
      </c>
      <c r="F145" s="144"/>
      <c r="G145" s="135"/>
      <c r="H145" s="58"/>
    </row>
    <row r="146" spans="1:8" s="4" customFormat="1" ht="26.25" customHeight="1" x14ac:dyDescent="0.25">
      <c r="B146" s="72">
        <f t="shared" si="7"/>
        <v>1.1200000000000001</v>
      </c>
      <c r="C146" s="71" t="s">
        <v>76</v>
      </c>
      <c r="D146" s="134">
        <v>15</v>
      </c>
      <c r="E146" s="134" t="s">
        <v>11</v>
      </c>
      <c r="F146" s="144"/>
      <c r="G146" s="135"/>
      <c r="H146" s="58"/>
    </row>
    <row r="147" spans="1:8" s="4" customFormat="1" ht="24" customHeight="1" thickBot="1" x14ac:dyDescent="0.35">
      <c r="B147" s="29"/>
      <c r="C147" s="30"/>
      <c r="D147" s="136"/>
      <c r="E147" s="136"/>
      <c r="F147" s="136"/>
      <c r="G147" s="136"/>
      <c r="H147" s="59"/>
    </row>
    <row r="148" spans="1:8" s="4" customFormat="1" ht="28.5" customHeight="1" thickBot="1" x14ac:dyDescent="0.3">
      <c r="B148" s="85" t="s">
        <v>129</v>
      </c>
      <c r="C148" s="86" t="s">
        <v>135</v>
      </c>
      <c r="D148" s="153"/>
      <c r="E148" s="153"/>
      <c r="F148" s="153"/>
      <c r="G148" s="153"/>
      <c r="H148" s="122"/>
    </row>
    <row r="149" spans="1:8" s="4" customFormat="1" ht="27" customHeight="1" x14ac:dyDescent="0.25">
      <c r="B149" s="69">
        <v>1.01</v>
      </c>
      <c r="C149" s="82" t="s">
        <v>136</v>
      </c>
      <c r="D149" s="130">
        <f>97.31*0.45*0.65</f>
        <v>28.463175000000003</v>
      </c>
      <c r="E149" s="130" t="s">
        <v>8</v>
      </c>
      <c r="F149" s="131"/>
      <c r="G149" s="132"/>
      <c r="H149" s="57"/>
    </row>
    <row r="150" spans="1:8" s="4" customFormat="1" ht="27" customHeight="1" x14ac:dyDescent="0.25">
      <c r="B150" s="72">
        <f>+B149+0.01</f>
        <v>1.02</v>
      </c>
      <c r="C150" s="71" t="s">
        <v>15</v>
      </c>
      <c r="D150" s="134">
        <f>+(0.45-0.15)*(0.65-0.25)*97.31*1.3</f>
        <v>15.180360000000004</v>
      </c>
      <c r="E150" s="134" t="s">
        <v>13</v>
      </c>
      <c r="F150" s="144"/>
      <c r="G150" s="135"/>
      <c r="H150" s="58"/>
    </row>
    <row r="151" spans="1:8" s="4" customFormat="1" ht="27" customHeight="1" x14ac:dyDescent="0.25">
      <c r="B151" s="72">
        <f t="shared" ref="B151:B160" si="8">+B150+0.01</f>
        <v>1.03</v>
      </c>
      <c r="C151" s="73" t="s">
        <v>16</v>
      </c>
      <c r="D151" s="134">
        <f>+((D149-D150))*1.25</f>
        <v>16.603518749999999</v>
      </c>
      <c r="E151" s="134" t="s">
        <v>12</v>
      </c>
      <c r="F151" s="144"/>
      <c r="G151" s="135"/>
      <c r="H151" s="160"/>
    </row>
    <row r="152" spans="1:8" s="4" customFormat="1" ht="46.5" x14ac:dyDescent="0.25">
      <c r="A152" s="4">
        <v>103.19000000000008</v>
      </c>
      <c r="B152" s="72">
        <f t="shared" si="8"/>
        <v>1.04</v>
      </c>
      <c r="C152" s="71" t="s">
        <v>137</v>
      </c>
      <c r="D152" s="134">
        <f>97.31*0.45*0.25</f>
        <v>10.947375000000001</v>
      </c>
      <c r="E152" s="134" t="s">
        <v>8</v>
      </c>
      <c r="F152" s="131"/>
      <c r="G152" s="135"/>
      <c r="H152" s="58"/>
    </row>
    <row r="153" spans="1:8" s="4" customFormat="1" ht="50.25" customHeight="1" x14ac:dyDescent="0.25">
      <c r="A153" s="4">
        <v>104.12000000000006</v>
      </c>
      <c r="B153" s="72">
        <f t="shared" si="8"/>
        <v>1.05</v>
      </c>
      <c r="C153" s="71" t="s">
        <v>138</v>
      </c>
      <c r="D153" s="134">
        <f>33*0.15*0.2*(0.4+2.2)</f>
        <v>2.5740000000000003</v>
      </c>
      <c r="E153" s="134" t="s">
        <v>8</v>
      </c>
      <c r="F153" s="131"/>
      <c r="G153" s="135"/>
      <c r="H153" s="58"/>
    </row>
    <row r="154" spans="1:8" s="4" customFormat="1" ht="50.25" customHeight="1" x14ac:dyDescent="0.25">
      <c r="A154" s="4">
        <v>105.11100000000005</v>
      </c>
      <c r="B154" s="72">
        <f t="shared" si="8"/>
        <v>1.06</v>
      </c>
      <c r="C154" s="71" t="s">
        <v>139</v>
      </c>
      <c r="D154" s="134">
        <f>97.31*0.15*0.2</f>
        <v>2.9192999999999998</v>
      </c>
      <c r="E154" s="134" t="s">
        <v>8</v>
      </c>
      <c r="F154" s="131"/>
      <c r="G154" s="135"/>
      <c r="H154" s="58"/>
    </row>
    <row r="155" spans="1:8" s="4" customFormat="1" ht="25.5" customHeight="1" x14ac:dyDescent="0.25">
      <c r="B155" s="72">
        <f t="shared" si="8"/>
        <v>1.07</v>
      </c>
      <c r="C155" s="71" t="s">
        <v>72</v>
      </c>
      <c r="D155" s="134">
        <f>97.31*0.4</f>
        <v>38.924000000000007</v>
      </c>
      <c r="E155" s="134" t="s">
        <v>10</v>
      </c>
      <c r="F155" s="144"/>
      <c r="G155" s="135"/>
      <c r="H155" s="58"/>
    </row>
    <row r="156" spans="1:8" s="4" customFormat="1" ht="27" customHeight="1" x14ac:dyDescent="0.25">
      <c r="B156" s="72">
        <f t="shared" si="8"/>
        <v>1.08</v>
      </c>
      <c r="C156" s="71" t="s">
        <v>73</v>
      </c>
      <c r="D156" s="134">
        <f>97.31*(2.4-0.2)</f>
        <v>214.08199999999997</v>
      </c>
      <c r="E156" s="134" t="s">
        <v>10</v>
      </c>
      <c r="F156" s="144"/>
      <c r="G156" s="135"/>
      <c r="H156" s="58"/>
    </row>
    <row r="157" spans="1:8" s="4" customFormat="1" ht="27" customHeight="1" x14ac:dyDescent="0.25">
      <c r="B157" s="72">
        <f t="shared" si="8"/>
        <v>1.0900000000000001</v>
      </c>
      <c r="C157" s="71" t="s">
        <v>140</v>
      </c>
      <c r="D157" s="134">
        <f>(0.2+0.2)*2.2*33+(0.15+0.2+0.2)*97.31</f>
        <v>82.560500000000005</v>
      </c>
      <c r="E157" s="134" t="s">
        <v>10</v>
      </c>
      <c r="F157" s="144"/>
      <c r="G157" s="135"/>
      <c r="H157" s="58"/>
    </row>
    <row r="158" spans="1:8" s="4" customFormat="1" ht="27" customHeight="1" x14ac:dyDescent="0.25">
      <c r="B158" s="72">
        <f t="shared" si="8"/>
        <v>1.1000000000000001</v>
      </c>
      <c r="C158" s="71" t="s">
        <v>66</v>
      </c>
      <c r="D158" s="134">
        <f>+D156*2+97.31*0.15</f>
        <v>442.76049999999992</v>
      </c>
      <c r="E158" s="134" t="s">
        <v>10</v>
      </c>
      <c r="F158" s="144"/>
      <c r="G158" s="135"/>
      <c r="H158" s="58"/>
    </row>
    <row r="159" spans="1:8" s="4" customFormat="1" ht="25.5" customHeight="1" x14ac:dyDescent="0.25">
      <c r="B159" s="72">
        <f t="shared" si="8"/>
        <v>1.1100000000000001</v>
      </c>
      <c r="C159" s="71" t="s">
        <v>67</v>
      </c>
      <c r="D159" s="134">
        <f>97.31*2+2.4*4</f>
        <v>204.22</v>
      </c>
      <c r="E159" s="134" t="s">
        <v>7</v>
      </c>
      <c r="F159" s="144"/>
      <c r="G159" s="135"/>
      <c r="H159" s="58"/>
    </row>
    <row r="160" spans="1:8" s="4" customFormat="1" ht="27" customHeight="1" x14ac:dyDescent="0.25">
      <c r="B160" s="72">
        <f t="shared" si="8"/>
        <v>1.1200000000000001</v>
      </c>
      <c r="C160" s="71" t="s">
        <v>124</v>
      </c>
      <c r="D160" s="134">
        <f>+D158</f>
        <v>442.76049999999992</v>
      </c>
      <c r="E160" s="134" t="s">
        <v>10</v>
      </c>
      <c r="F160" s="144"/>
      <c r="G160" s="135"/>
      <c r="H160" s="58"/>
    </row>
    <row r="161" spans="1:10" s="4" customFormat="1" ht="24" customHeight="1" thickBot="1" x14ac:dyDescent="0.35">
      <c r="B161" s="29"/>
      <c r="C161" s="30"/>
      <c r="D161" s="136"/>
      <c r="E161" s="136"/>
      <c r="F161" s="136"/>
      <c r="G161" s="136"/>
      <c r="H161" s="59"/>
    </row>
    <row r="162" spans="1:10" s="4" customFormat="1" ht="24" customHeight="1" thickBot="1" x14ac:dyDescent="0.3">
      <c r="B162" s="85" t="s">
        <v>133</v>
      </c>
      <c r="C162" s="86" t="s">
        <v>174</v>
      </c>
      <c r="D162" s="153"/>
      <c r="E162" s="153"/>
      <c r="F162" s="153"/>
      <c r="G162" s="153"/>
      <c r="H162" s="122"/>
    </row>
    <row r="163" spans="1:10" s="4" customFormat="1" ht="46.5" customHeight="1" x14ac:dyDescent="0.25">
      <c r="B163" s="69">
        <v>1.01</v>
      </c>
      <c r="C163" s="70" t="s">
        <v>131</v>
      </c>
      <c r="D163" s="130">
        <f>+ROUND((26.11*0.1),2)</f>
        <v>2.61</v>
      </c>
      <c r="E163" s="130" t="s">
        <v>8</v>
      </c>
      <c r="F163" s="131"/>
      <c r="G163" s="132"/>
      <c r="H163" s="57"/>
      <c r="I163" s="4">
        <f>58.11-32</f>
        <v>26.11</v>
      </c>
    </row>
    <row r="164" spans="1:10" s="4" customFormat="1" ht="51" customHeight="1" x14ac:dyDescent="0.25">
      <c r="A164" s="4">
        <v>120.01</v>
      </c>
      <c r="B164" s="72">
        <f t="shared" ref="B164" si="9">+B163+0.01</f>
        <v>1.02</v>
      </c>
      <c r="C164" s="73" t="s">
        <v>175</v>
      </c>
      <c r="D164" s="134">
        <v>26.11</v>
      </c>
      <c r="E164" s="134" t="s">
        <v>10</v>
      </c>
      <c r="F164" s="131"/>
      <c r="G164" s="135"/>
      <c r="H164" s="58"/>
    </row>
    <row r="165" spans="1:10" s="4" customFormat="1" ht="24" customHeight="1" thickBot="1" x14ac:dyDescent="0.3">
      <c r="B165" s="87"/>
      <c r="C165" s="88"/>
      <c r="D165" s="154"/>
      <c r="E165" s="154"/>
      <c r="F165" s="155"/>
      <c r="G165" s="155"/>
      <c r="H165" s="59"/>
    </row>
    <row r="166" spans="1:10" s="4" customFormat="1" ht="27" customHeight="1" thickBot="1" x14ac:dyDescent="0.3">
      <c r="B166" s="85" t="s">
        <v>134</v>
      </c>
      <c r="C166" s="86" t="s">
        <v>130</v>
      </c>
      <c r="D166" s="153"/>
      <c r="E166" s="153"/>
      <c r="F166" s="153"/>
      <c r="G166" s="153"/>
      <c r="H166" s="122"/>
    </row>
    <row r="167" spans="1:10" s="4" customFormat="1" ht="46.5" x14ac:dyDescent="0.25">
      <c r="B167" s="69">
        <v>1.01</v>
      </c>
      <c r="C167" s="70" t="s">
        <v>131</v>
      </c>
      <c r="D167" s="130">
        <f>+ROUND((58.11*0.1),2)</f>
        <v>5.81</v>
      </c>
      <c r="E167" s="130" t="s">
        <v>8</v>
      </c>
      <c r="F167" s="131"/>
      <c r="G167" s="132"/>
      <c r="H167" s="57"/>
    </row>
    <row r="168" spans="1:10" s="4" customFormat="1" ht="52.5" customHeight="1" x14ac:dyDescent="0.25">
      <c r="A168" s="40" t="s">
        <v>152</v>
      </c>
      <c r="B168" s="72">
        <f t="shared" ref="B168" si="10">+B167+0.01</f>
        <v>1.02</v>
      </c>
      <c r="C168" s="73" t="s">
        <v>132</v>
      </c>
      <c r="D168" s="134">
        <f>4.02*3.7</f>
        <v>14.873999999999999</v>
      </c>
      <c r="E168" s="134" t="s">
        <v>10</v>
      </c>
      <c r="F168" s="131"/>
      <c r="G168" s="135"/>
      <c r="H168" s="58"/>
    </row>
    <row r="169" spans="1:10" s="4" customFormat="1" ht="24" thickBot="1" x14ac:dyDescent="0.3">
      <c r="B169" s="87"/>
      <c r="C169" s="88"/>
      <c r="D169" s="154"/>
      <c r="E169" s="154"/>
      <c r="F169" s="155"/>
      <c r="G169" s="155"/>
      <c r="H169" s="59"/>
    </row>
    <row r="170" spans="1:10" ht="27" customHeight="1" thickBot="1" x14ac:dyDescent="0.35">
      <c r="B170" s="67">
        <v>16</v>
      </c>
      <c r="C170" s="123" t="s">
        <v>87</v>
      </c>
      <c r="D170" s="138" t="s">
        <v>148</v>
      </c>
      <c r="E170" s="138"/>
      <c r="F170" s="138"/>
      <c r="G170" s="138"/>
      <c r="H170" s="55"/>
      <c r="J170" s="2">
        <f>+(0.5*0.5-0.4*0.4)*(0.6-0.2)*1.3*186.8</f>
        <v>8.7422399999999971</v>
      </c>
    </row>
    <row r="171" spans="1:10" ht="27" customHeight="1" x14ac:dyDescent="0.25">
      <c r="B171" s="69">
        <f>+B170+0.01</f>
        <v>16.010000000000002</v>
      </c>
      <c r="C171" s="70" t="s">
        <v>100</v>
      </c>
      <c r="D171" s="130">
        <v>1</v>
      </c>
      <c r="E171" s="130" t="s">
        <v>101</v>
      </c>
      <c r="F171" s="131"/>
      <c r="G171" s="132"/>
      <c r="H171" s="57"/>
      <c r="J171" s="2" t="e">
        <f>+#REF!+#REF!+#REF!+J170</f>
        <v>#REF!</v>
      </c>
    </row>
    <row r="172" spans="1:10" ht="19.5" thickBot="1" x14ac:dyDescent="0.35">
      <c r="B172" s="29"/>
      <c r="C172" s="30"/>
      <c r="D172" s="54"/>
      <c r="E172" s="54"/>
      <c r="F172" s="54"/>
      <c r="G172" s="54"/>
      <c r="H172" s="59"/>
    </row>
    <row r="173" spans="1:10" ht="19.5" thickBot="1" x14ac:dyDescent="0.35">
      <c r="B173" s="29"/>
      <c r="C173" s="30"/>
      <c r="D173" s="54"/>
      <c r="E173" s="54"/>
      <c r="F173" s="54"/>
      <c r="G173" s="54"/>
      <c r="H173" s="53"/>
    </row>
    <row r="174" spans="1:10" ht="23.25" thickBot="1" x14ac:dyDescent="0.3">
      <c r="B174" s="161" t="s">
        <v>102</v>
      </c>
      <c r="C174" s="162"/>
      <c r="D174" s="162"/>
      <c r="E174" s="162"/>
      <c r="F174" s="162"/>
      <c r="G174" s="162"/>
      <c r="H174" s="89">
        <f>+SUM(H13:H172)</f>
        <v>0</v>
      </c>
      <c r="I174" s="89">
        <v>4942480.8733369447</v>
      </c>
    </row>
    <row r="175" spans="1:10" ht="21" customHeight="1" thickBot="1" x14ac:dyDescent="0.3">
      <c r="B175" s="6"/>
      <c r="C175" s="7"/>
      <c r="D175" s="8"/>
      <c r="E175" s="9"/>
      <c r="F175" s="10"/>
      <c r="G175" s="10"/>
      <c r="H175" s="11"/>
      <c r="I175" s="158">
        <f>+I174-H174</f>
        <v>4942480.8733369447</v>
      </c>
    </row>
    <row r="176" spans="1:10" ht="30" customHeight="1" thickBot="1" x14ac:dyDescent="0.3">
      <c r="B176" s="114">
        <v>17</v>
      </c>
      <c r="C176" s="115" t="s">
        <v>9</v>
      </c>
      <c r="D176" s="116"/>
      <c r="E176" s="117"/>
      <c r="F176" s="118"/>
      <c r="G176" s="119"/>
      <c r="H176" s="90"/>
    </row>
    <row r="177" spans="2:9" ht="23.25" x14ac:dyDescent="0.25">
      <c r="B177" s="110">
        <f>+B176+0.01</f>
        <v>17.010000000000002</v>
      </c>
      <c r="C177" s="111" t="s">
        <v>103</v>
      </c>
      <c r="D177" s="112"/>
      <c r="E177" s="113">
        <v>0.04</v>
      </c>
      <c r="F177" s="51"/>
      <c r="G177" s="156">
        <f>H174*E177</f>
        <v>0</v>
      </c>
      <c r="H177" s="163">
        <f>SUM(G177:G185)</f>
        <v>0</v>
      </c>
      <c r="I177" s="2">
        <v>33824.800000000003</v>
      </c>
    </row>
    <row r="178" spans="2:9" ht="23.25" x14ac:dyDescent="0.25">
      <c r="B178" s="91">
        <f t="shared" ref="B178:B185" si="11">+B177+0.01</f>
        <v>17.020000000000003</v>
      </c>
      <c r="C178" s="92" t="s">
        <v>104</v>
      </c>
      <c r="D178" s="93"/>
      <c r="E178" s="94">
        <v>0.03</v>
      </c>
      <c r="F178" s="52"/>
      <c r="G178" s="157">
        <f>H174*E178</f>
        <v>0</v>
      </c>
      <c r="H178" s="164"/>
    </row>
    <row r="179" spans="2:9" ht="23.25" x14ac:dyDescent="0.25">
      <c r="B179" s="91">
        <f t="shared" si="11"/>
        <v>17.030000000000005</v>
      </c>
      <c r="C179" s="92" t="s">
        <v>105</v>
      </c>
      <c r="D179" s="93"/>
      <c r="E179" s="94">
        <v>2.5000000000000001E-2</v>
      </c>
      <c r="F179" s="52"/>
      <c r="G179" s="157">
        <f>H174*E179</f>
        <v>0</v>
      </c>
      <c r="H179" s="164"/>
    </row>
    <row r="180" spans="2:9" ht="23.25" x14ac:dyDescent="0.25">
      <c r="B180" s="91">
        <f t="shared" si="11"/>
        <v>17.040000000000006</v>
      </c>
      <c r="C180" s="92" t="s">
        <v>106</v>
      </c>
      <c r="D180" s="93"/>
      <c r="E180" s="94">
        <v>0.1</v>
      </c>
      <c r="F180" s="52"/>
      <c r="G180" s="157">
        <f>H174*E180</f>
        <v>0</v>
      </c>
      <c r="H180" s="164"/>
    </row>
    <row r="181" spans="2:9" ht="23.25" x14ac:dyDescent="0.25">
      <c r="B181" s="91">
        <f t="shared" si="11"/>
        <v>17.050000000000008</v>
      </c>
      <c r="C181" s="92" t="s">
        <v>107</v>
      </c>
      <c r="D181" s="93"/>
      <c r="E181" s="94">
        <v>0.04</v>
      </c>
      <c r="F181" s="52"/>
      <c r="G181" s="157">
        <f>H174*E181</f>
        <v>0</v>
      </c>
      <c r="H181" s="164"/>
    </row>
    <row r="182" spans="2:9" ht="23.25" x14ac:dyDescent="0.25">
      <c r="B182" s="91">
        <f t="shared" si="11"/>
        <v>17.060000000000009</v>
      </c>
      <c r="C182" s="92" t="s">
        <v>108</v>
      </c>
      <c r="D182" s="93"/>
      <c r="E182" s="94">
        <v>0.01</v>
      </c>
      <c r="F182" s="52"/>
      <c r="G182" s="157">
        <f>H174*E182</f>
        <v>0</v>
      </c>
      <c r="H182" s="164"/>
    </row>
    <row r="183" spans="2:9" ht="23.25" x14ac:dyDescent="0.25">
      <c r="B183" s="91">
        <f t="shared" si="11"/>
        <v>17.070000000000011</v>
      </c>
      <c r="C183" s="92" t="s">
        <v>109</v>
      </c>
      <c r="D183" s="93"/>
      <c r="E183" s="94">
        <v>1E-3</v>
      </c>
      <c r="F183" s="52"/>
      <c r="G183" s="157">
        <f>SUM(H174*E183)</f>
        <v>0</v>
      </c>
      <c r="H183" s="164"/>
    </row>
    <row r="184" spans="2:9" ht="23.25" x14ac:dyDescent="0.25">
      <c r="B184" s="91">
        <f t="shared" si="11"/>
        <v>17.080000000000013</v>
      </c>
      <c r="C184" s="92" t="s">
        <v>110</v>
      </c>
      <c r="D184" s="93"/>
      <c r="E184" s="94">
        <v>0.05</v>
      </c>
      <c r="F184" s="52"/>
      <c r="G184" s="157">
        <f>SUM(H174*E184)</f>
        <v>0</v>
      </c>
      <c r="H184" s="164"/>
    </row>
    <row r="185" spans="2:9" ht="23.25" x14ac:dyDescent="0.25">
      <c r="B185" s="91">
        <f t="shared" si="11"/>
        <v>17.090000000000014</v>
      </c>
      <c r="C185" s="92" t="s">
        <v>146</v>
      </c>
      <c r="D185" s="93"/>
      <c r="E185" s="94">
        <v>0.18</v>
      </c>
      <c r="F185" s="52"/>
      <c r="G185" s="157">
        <f>SUM(G180*E185)</f>
        <v>0</v>
      </c>
      <c r="H185" s="164"/>
    </row>
    <row r="186" spans="2:9" ht="24" thickBot="1" x14ac:dyDescent="0.3">
      <c r="B186" s="95"/>
      <c r="C186" s="96"/>
      <c r="D186" s="97"/>
      <c r="E186" s="96"/>
      <c r="F186" s="98"/>
      <c r="G186" s="96"/>
      <c r="H186" s="165"/>
    </row>
    <row r="187" spans="2:9" ht="20.25" thickBot="1" x14ac:dyDescent="0.3">
      <c r="B187" s="12"/>
      <c r="C187" s="13"/>
      <c r="D187" s="14"/>
      <c r="E187" s="9"/>
      <c r="F187" s="15"/>
      <c r="G187" s="15"/>
      <c r="H187" s="16"/>
    </row>
    <row r="188" spans="2:9" ht="23.25" thickBot="1" x14ac:dyDescent="0.3">
      <c r="B188" s="187" t="s">
        <v>111</v>
      </c>
      <c r="C188" s="188"/>
      <c r="D188" s="188"/>
      <c r="E188" s="188"/>
      <c r="F188" s="188"/>
      <c r="G188" s="188"/>
      <c r="H188" s="99">
        <f>+ROUND(SUM(H177+H174),2)</f>
        <v>0</v>
      </c>
    </row>
    <row r="189" spans="2:9" ht="16.5" customHeight="1" x14ac:dyDescent="0.25">
      <c r="B189" s="12"/>
      <c r="C189" s="17"/>
      <c r="D189" s="18"/>
      <c r="E189" s="19"/>
      <c r="F189" s="20"/>
      <c r="G189" s="20"/>
      <c r="H189" s="21"/>
    </row>
    <row r="190" spans="2:9" ht="3" customHeight="1" x14ac:dyDescent="0.3">
      <c r="B190" s="22"/>
      <c r="C190" s="23"/>
      <c r="D190" s="24"/>
      <c r="E190" s="24"/>
      <c r="F190" s="25"/>
      <c r="G190" s="25"/>
      <c r="H190" s="26"/>
    </row>
    <row r="191" spans="2:9" ht="18.75" x14ac:dyDescent="0.3">
      <c r="B191" s="100"/>
      <c r="C191" s="101" t="s">
        <v>169</v>
      </c>
      <c r="D191" s="101"/>
      <c r="E191" s="101"/>
      <c r="F191" s="101" t="s">
        <v>112</v>
      </c>
      <c r="G191" s="101"/>
      <c r="H191" s="102"/>
    </row>
    <row r="192" spans="2:9" ht="11.25" customHeight="1" x14ac:dyDescent="0.3">
      <c r="B192" s="100"/>
      <c r="C192" s="129"/>
      <c r="D192" s="60"/>
      <c r="E192" s="129"/>
      <c r="F192" s="129"/>
      <c r="G192" s="129"/>
      <c r="H192" s="103"/>
    </row>
    <row r="193" spans="2:10" ht="7.5" customHeight="1" x14ac:dyDescent="0.3">
      <c r="B193" s="100"/>
      <c r="C193" s="101"/>
      <c r="D193" s="60"/>
      <c r="E193" s="60"/>
      <c r="F193" s="60"/>
      <c r="G193" s="60"/>
      <c r="H193" s="104"/>
    </row>
    <row r="194" spans="2:10" ht="18.75" x14ac:dyDescent="0.3">
      <c r="B194" s="100"/>
      <c r="C194" s="105" t="s">
        <v>171</v>
      </c>
      <c r="D194" s="105"/>
      <c r="E194" s="189" t="s">
        <v>168</v>
      </c>
      <c r="F194" s="190"/>
      <c r="G194" s="190"/>
      <c r="H194" s="106"/>
    </row>
    <row r="195" spans="2:10" ht="18.75" x14ac:dyDescent="0.3">
      <c r="B195" s="100"/>
      <c r="C195" s="101" t="s">
        <v>170</v>
      </c>
      <c r="D195" s="101" t="s">
        <v>94</v>
      </c>
      <c r="E195" s="101" t="s">
        <v>172</v>
      </c>
      <c r="F195" s="101"/>
      <c r="G195" s="101"/>
      <c r="H195" s="102"/>
    </row>
    <row r="196" spans="2:10" x14ac:dyDescent="0.25">
      <c r="B196" s="29"/>
      <c r="C196" s="30"/>
      <c r="D196" s="31"/>
      <c r="E196" s="31"/>
      <c r="F196" s="31"/>
      <c r="G196" s="31"/>
      <c r="H196" s="32"/>
    </row>
    <row r="197" spans="2:10" ht="18.75" x14ac:dyDescent="0.25">
      <c r="B197" s="29"/>
      <c r="C197" s="191" t="s">
        <v>113</v>
      </c>
      <c r="D197" s="191"/>
      <c r="E197" s="191"/>
      <c r="F197" s="191"/>
      <c r="G197" s="191"/>
      <c r="H197" s="192"/>
    </row>
    <row r="198" spans="2:10" x14ac:dyDescent="0.25">
      <c r="B198" s="29"/>
      <c r="C198" s="30"/>
      <c r="D198" s="31"/>
      <c r="E198" s="31"/>
      <c r="F198" s="31"/>
      <c r="G198" s="31"/>
      <c r="H198" s="32"/>
      <c r="I198"/>
      <c r="J198"/>
    </row>
    <row r="199" spans="2:10" ht="1.5" customHeight="1" x14ac:dyDescent="0.25">
      <c r="B199" s="29"/>
      <c r="C199" s="30"/>
      <c r="D199" s="31"/>
      <c r="E199" s="31"/>
      <c r="F199" s="101"/>
      <c r="G199" s="101"/>
      <c r="H199" s="102"/>
      <c r="I199"/>
      <c r="J199"/>
    </row>
    <row r="200" spans="2:10" ht="18.75" x14ac:dyDescent="0.25">
      <c r="B200" s="29"/>
      <c r="C200" s="190" t="s">
        <v>165</v>
      </c>
      <c r="D200" s="190"/>
      <c r="E200" s="190"/>
      <c r="F200" s="190"/>
      <c r="G200" s="190"/>
      <c r="H200" s="193"/>
      <c r="I200"/>
      <c r="J200"/>
    </row>
    <row r="201" spans="2:10" ht="18.75" x14ac:dyDescent="0.25">
      <c r="B201" s="29"/>
      <c r="C201" s="191" t="s">
        <v>114</v>
      </c>
      <c r="D201" s="191"/>
      <c r="E201" s="191"/>
      <c r="F201" s="191"/>
      <c r="G201" s="191"/>
      <c r="H201" s="192"/>
      <c r="I201"/>
      <c r="J201"/>
    </row>
    <row r="202" spans="2:10" ht="18" x14ac:dyDescent="0.25">
      <c r="B202" s="29"/>
      <c r="C202" s="30"/>
      <c r="D202" s="31"/>
      <c r="E202" s="31"/>
      <c r="F202" s="27"/>
      <c r="G202" s="27"/>
      <c r="H202" s="28"/>
      <c r="I202"/>
      <c r="J202"/>
    </row>
    <row r="203" spans="2:10" customFormat="1" x14ac:dyDescent="0.25">
      <c r="B203" s="5"/>
      <c r="C203" s="1"/>
      <c r="D203" s="1"/>
      <c r="E203" s="1"/>
      <c r="F203" s="1"/>
      <c r="G203" s="1"/>
      <c r="H203" s="124"/>
    </row>
    <row r="204" spans="2:10" customFormat="1" ht="15.75" thickBot="1" x14ac:dyDescent="0.3">
      <c r="B204" s="125"/>
      <c r="C204" s="126"/>
      <c r="D204" s="126"/>
      <c r="E204" s="126"/>
      <c r="F204" s="126"/>
      <c r="G204" s="126"/>
      <c r="H204" s="127"/>
    </row>
    <row r="205" spans="2:10" x14ac:dyDescent="0.25">
      <c r="I205"/>
      <c r="J205"/>
    </row>
    <row r="206" spans="2:10" x14ac:dyDescent="0.25">
      <c r="I206"/>
      <c r="J206"/>
    </row>
  </sheetData>
  <mergeCells count="19">
    <mergeCell ref="B188:G188"/>
    <mergeCell ref="E194:G194"/>
    <mergeCell ref="C197:H197"/>
    <mergeCell ref="C200:H200"/>
    <mergeCell ref="C201:H201"/>
    <mergeCell ref="B174:G174"/>
    <mergeCell ref="H177:H186"/>
    <mergeCell ref="B4:H4"/>
    <mergeCell ref="B5:C5"/>
    <mergeCell ref="D5:H5"/>
    <mergeCell ref="B6:C6"/>
    <mergeCell ref="D6:H6"/>
    <mergeCell ref="B8:C8"/>
    <mergeCell ref="D8:H8"/>
    <mergeCell ref="H42:H44"/>
    <mergeCell ref="B9:C9"/>
    <mergeCell ref="D9:H9"/>
    <mergeCell ref="B10:C10"/>
    <mergeCell ref="D10:F10"/>
  </mergeCells>
  <pageMargins left="0.23622047244094491" right="0.23622047244094491" top="0.74803149606299213" bottom="0.74803149606299213" header="0.31496062992125984" footer="0.31496062992125984"/>
  <pageSetup scale="52" fitToHeight="0" orientation="portrait" r:id="rId1"/>
  <rowBreaks count="1" manualBreakCount="1">
    <brk id="4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ACT.01-06-2022 (2)</vt:lpstr>
      <vt:lpstr>'ACT.01-06-2022 (2)'!Área_de_impresión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OBRAS PUBL</dc:creator>
  <cp:lastModifiedBy>Evelin Peña</cp:lastModifiedBy>
  <cp:lastPrinted>2022-06-28T14:20:21Z</cp:lastPrinted>
  <dcterms:created xsi:type="dcterms:W3CDTF">2020-09-01T13:09:10Z</dcterms:created>
  <dcterms:modified xsi:type="dcterms:W3CDTF">2022-07-13T16:18:32Z</dcterms:modified>
</cp:coreProperties>
</file>