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lin\Desktop\OAIM\"/>
    </mc:Choice>
  </mc:AlternateContent>
  <bookViews>
    <workbookView xWindow="0" yWindow="0" windowWidth="20490" windowHeight="7755"/>
  </bookViews>
  <sheets>
    <sheet name="28 06 2022" sheetId="5" r:id="rId1"/>
  </sheets>
  <definedNames>
    <definedName name="_xlnm.Print_Area" localSheetId="0">'28 06 2022'!$B$1:$H$233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5" l="1"/>
  <c r="D33" i="5" s="1"/>
  <c r="D34" i="5" s="1"/>
  <c r="D35" i="5"/>
  <c r="D36" i="5"/>
  <c r="B106" i="5"/>
  <c r="B107" i="5" s="1"/>
  <c r="B108" i="5" s="1"/>
  <c r="B111" i="5"/>
  <c r="B202" i="5"/>
  <c r="D196" i="5"/>
  <c r="D197" i="5" s="1"/>
  <c r="B196" i="5"/>
  <c r="B197" i="5" s="1"/>
  <c r="B198" i="5" s="1"/>
  <c r="B199" i="5" s="1"/>
  <c r="D189" i="5"/>
  <c r="D190" i="5" s="1"/>
  <c r="B189" i="5"/>
  <c r="B190" i="5" s="1"/>
  <c r="B191" i="5" s="1"/>
  <c r="B192" i="5" s="1"/>
  <c r="B193" i="5" s="1"/>
  <c r="D183" i="5"/>
  <c r="D184" i="5" s="1"/>
  <c r="B183" i="5"/>
  <c r="B184" i="5" s="1"/>
  <c r="B185" i="5" s="1"/>
  <c r="B186" i="5" s="1"/>
  <c r="D178" i="5"/>
  <c r="D177" i="5"/>
  <c r="D175" i="5"/>
  <c r="D173" i="5"/>
  <c r="D174" i="5" s="1"/>
  <c r="D169" i="5"/>
  <c r="D168" i="5"/>
  <c r="D166" i="5"/>
  <c r="D165" i="5"/>
  <c r="D164" i="5"/>
  <c r="D155" i="5"/>
  <c r="D156" i="5" s="1"/>
  <c r="B154" i="5"/>
  <c r="B155" i="5" s="1"/>
  <c r="B156" i="5" s="1"/>
  <c r="B157" i="5" s="1"/>
  <c r="B158" i="5" s="1"/>
  <c r="B159" i="5" s="1"/>
  <c r="B160" i="5" s="1"/>
  <c r="B164" i="5" s="1"/>
  <c r="B165" i="5" s="1"/>
  <c r="B166" i="5" s="1"/>
  <c r="B167" i="5" s="1"/>
  <c r="B168" i="5" s="1"/>
  <c r="B169" i="5" s="1"/>
  <c r="B170" i="5" s="1"/>
  <c r="B173" i="5" s="1"/>
  <c r="B174" i="5" s="1"/>
  <c r="B175" i="5" s="1"/>
  <c r="B176" i="5" s="1"/>
  <c r="B177" i="5" s="1"/>
  <c r="B178" i="5" s="1"/>
  <c r="B179" i="5" s="1"/>
  <c r="B148" i="5"/>
  <c r="D140" i="5"/>
  <c r="B139" i="5"/>
  <c r="B140" i="5" s="1"/>
  <c r="B141" i="5" s="1"/>
  <c r="B142" i="5" s="1"/>
  <c r="B143" i="5" s="1"/>
  <c r="B144" i="5" s="1"/>
  <c r="B145" i="5" s="1"/>
  <c r="B135" i="5"/>
  <c r="B136" i="5" s="1"/>
  <c r="B132" i="5"/>
  <c r="B131" i="5"/>
  <c r="B127" i="5"/>
  <c r="B128" i="5" s="1"/>
  <c r="B123" i="5"/>
  <c r="B124" i="5" s="1"/>
  <c r="D122" i="5"/>
  <c r="D121" i="5"/>
  <c r="B121" i="5"/>
  <c r="B122" i="5" s="1"/>
  <c r="D118" i="5"/>
  <c r="B117" i="5"/>
  <c r="B118" i="5" s="1"/>
  <c r="B101" i="5"/>
  <c r="D98" i="5"/>
  <c r="D97" i="5"/>
  <c r="D95" i="5"/>
  <c r="D96" i="5" s="1"/>
  <c r="D92" i="5"/>
  <c r="D91" i="5"/>
  <c r="D89" i="5"/>
  <c r="D86" i="5"/>
  <c r="D85" i="5"/>
  <c r="D83" i="5"/>
  <c r="D84" i="5" s="1"/>
  <c r="D80" i="5"/>
  <c r="D79" i="5"/>
  <c r="D77" i="5"/>
  <c r="D78" i="5" s="1"/>
  <c r="D74" i="5"/>
  <c r="D73" i="5"/>
  <c r="D71" i="5"/>
  <c r="D72" i="5" s="1"/>
  <c r="D68" i="5"/>
  <c r="D67" i="5"/>
  <c r="D65" i="5"/>
  <c r="D62" i="5"/>
  <c r="D61" i="5"/>
  <c r="D59" i="5"/>
  <c r="D56" i="5"/>
  <c r="D55" i="5"/>
  <c r="D53" i="5"/>
  <c r="D54" i="5" s="1"/>
  <c r="D50" i="5"/>
  <c r="D49" i="5"/>
  <c r="D47" i="5"/>
  <c r="D48" i="5" s="1"/>
  <c r="B47" i="5"/>
  <c r="B48" i="5" s="1"/>
  <c r="B49" i="5" s="1"/>
  <c r="B50" i="5" s="1"/>
  <c r="B53" i="5" s="1"/>
  <c r="B54" i="5" s="1"/>
  <c r="B55" i="5" s="1"/>
  <c r="B56" i="5" s="1"/>
  <c r="B59" i="5" s="1"/>
  <c r="B60" i="5" s="1"/>
  <c r="B61" i="5" s="1"/>
  <c r="B62" i="5" s="1"/>
  <c r="B65" i="5" s="1"/>
  <c r="B66" i="5" s="1"/>
  <c r="B67" i="5" s="1"/>
  <c r="B68" i="5" s="1"/>
  <c r="B71" i="5" s="1"/>
  <c r="B72" i="5" s="1"/>
  <c r="B73" i="5" s="1"/>
  <c r="B74" i="5" s="1"/>
  <c r="B77" i="5" s="1"/>
  <c r="B78" i="5" s="1"/>
  <c r="B79" i="5" s="1"/>
  <c r="B80" i="5" s="1"/>
  <c r="B83" i="5" s="1"/>
  <c r="B84" i="5" s="1"/>
  <c r="B85" i="5" s="1"/>
  <c r="B86" i="5" s="1"/>
  <c r="B89" i="5" s="1"/>
  <c r="B90" i="5" s="1"/>
  <c r="B91" i="5" s="1"/>
  <c r="B92" i="5" s="1"/>
  <c r="B95" i="5" s="1"/>
  <c r="B96" i="5" s="1"/>
  <c r="B97" i="5" s="1"/>
  <c r="B98" i="5" s="1"/>
  <c r="D39" i="5"/>
  <c r="D42" i="5" s="1"/>
  <c r="D26" i="5"/>
  <c r="D27" i="5" s="1"/>
  <c r="D25" i="5"/>
  <c r="D29" i="5" s="1"/>
  <c r="D18" i="5"/>
  <c r="D21" i="5" s="1"/>
  <c r="D17" i="5"/>
  <c r="B17" i="5"/>
  <c r="B18" i="5" s="1"/>
  <c r="B19" i="5" s="1"/>
  <c r="B20" i="5" s="1"/>
  <c r="B21" i="5" s="1"/>
  <c r="B22" i="5" s="1"/>
  <c r="B25" i="5" s="1"/>
  <c r="B26" i="5" s="1"/>
  <c r="B27" i="5" s="1"/>
  <c r="B28" i="5" s="1"/>
  <c r="B29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12" i="5"/>
  <c r="D123" i="5" l="1"/>
  <c r="D124" i="5" s="1"/>
  <c r="D43" i="5"/>
  <c r="D60" i="5"/>
  <c r="D66" i="5"/>
  <c r="D40" i="5"/>
  <c r="D90" i="5"/>
  <c r="D22" i="5"/>
  <c r="D28" i="5"/>
  <c r="D19" i="5"/>
  <c r="D20" i="5" l="1"/>
  <c r="D41" i="5"/>
  <c r="J198" i="5" l="1"/>
  <c r="I121" i="5"/>
  <c r="G210" i="5" l="1"/>
  <c r="G209" i="5"/>
  <c r="G216" i="5"/>
  <c r="G208" i="5"/>
  <c r="G215" i="5"/>
  <c r="G214" i="5"/>
  <c r="G213" i="5"/>
  <c r="G212" i="5"/>
  <c r="G211" i="5"/>
</calcChain>
</file>

<file path=xl/sharedStrings.xml><?xml version="1.0" encoding="utf-8"?>
<sst xmlns="http://schemas.openxmlformats.org/spreadsheetml/2006/main" count="336" uniqueCount="176">
  <si>
    <t>NO.</t>
  </si>
  <si>
    <t>DETALLE</t>
  </si>
  <si>
    <t>CANT.</t>
  </si>
  <si>
    <t>UNID.</t>
  </si>
  <si>
    <t>P.U.</t>
  </si>
  <si>
    <t>SUB-TOTAL</t>
  </si>
  <si>
    <t>TOTAL</t>
  </si>
  <si>
    <t>LIMPIEZA</t>
  </si>
  <si>
    <t>GASTOS INDIRECTOS</t>
  </si>
  <si>
    <t>SUB-TOTAL INDIRECTOS</t>
  </si>
  <si>
    <t xml:space="preserve">TOTAL  GENERAL </t>
  </si>
  <si>
    <t>Aprobado por:</t>
  </si>
  <si>
    <t xml:space="preserve">Limpieza en General </t>
  </si>
  <si>
    <t>p.a.</t>
  </si>
  <si>
    <t>ml</t>
  </si>
  <si>
    <t xml:space="preserve">CONSTRUCCION DE CONTENES </t>
  </si>
  <si>
    <t>A</t>
  </si>
  <si>
    <t>CONSTRUCCION DE BADENES</t>
  </si>
  <si>
    <t>B</t>
  </si>
  <si>
    <t>C</t>
  </si>
  <si>
    <t>CALLE ANTONIO GUZMAN ESQ. CALLE 24 (Long=6.80m; Ancho Promedio=1.50m)</t>
  </si>
  <si>
    <t>D</t>
  </si>
  <si>
    <t>I</t>
  </si>
  <si>
    <t>m3</t>
  </si>
  <si>
    <t xml:space="preserve">Demolicion de Contenes en Mal Estado </t>
  </si>
  <si>
    <t>Replanteo de Contenes</t>
  </si>
  <si>
    <t>Bote de Material Inservible e=20%</t>
  </si>
  <si>
    <t>Hormigon en Contenes Pulido f´c=180kg/cm2 h=0.30mts b=0.50mts</t>
  </si>
  <si>
    <t>Excavacion a Mano (6.80x1.50x0.60) mts</t>
  </si>
  <si>
    <t>Hormigon Ciclopeo  (6.80x1.50x0.35)m</t>
  </si>
  <si>
    <t>Hormigon en Losa f´c=210kg/cm2 con Acero Ø1/2@0.20mts (6.80x1.50x0.25)m</t>
  </si>
  <si>
    <t xml:space="preserve">Sub-Total RD$ </t>
  </si>
  <si>
    <t>Excavacion a Mano (265.70x0.30x0.20)mts</t>
  </si>
  <si>
    <t>Telford para Contenes (265.70x0.30x0.20)mts</t>
  </si>
  <si>
    <t>Excavacion a Mano (23.10x0.30x0.20)mts</t>
  </si>
  <si>
    <t>Telford para Contenes (23.10x0.30x0.20)mts</t>
  </si>
  <si>
    <t>Excavacion a Mano (12.00x0.30x0.20)mts</t>
  </si>
  <si>
    <t>Telford para Contenes (12.00x0.30x0.20)mts</t>
  </si>
  <si>
    <t>Excavacion a Mano (24.20x0.30x0.20)mts</t>
  </si>
  <si>
    <t>Telford para Contenes (24.20x0.30x0.20)mts</t>
  </si>
  <si>
    <t>CALLE ANTONIO GUZMAN (Long=9.80m; Ancho Promedio=1.50m)</t>
  </si>
  <si>
    <t>Excavacion a Mano (9.80x1.50x0.60) mts</t>
  </si>
  <si>
    <t>Hormigon Ciclopeo (9.80x1.50x0.35)m</t>
  </si>
  <si>
    <t>Hormigon en Losa f´c=210kg/cm2 con Acero Ø1/2@0.20mts (9.80x1.50x0.25)m</t>
  </si>
  <si>
    <t>Excavacion a Mano (8.20x1.50x0.60) mts</t>
  </si>
  <si>
    <t>Hormigon Ciclopeo (8.20x1.50x0.35)m</t>
  </si>
  <si>
    <t>Hormigon en Losa f´c=210kg/cm2 con Acero Ø1/2@0.20mts (8.20x1.50x0.25)m</t>
  </si>
  <si>
    <t>Excavacion a Mano (10.80x1.50x0.60) mts</t>
  </si>
  <si>
    <t>Hormigon Ciclopeo  (10.80x1.50x0.35)m</t>
  </si>
  <si>
    <t>Hormigon en Losa f´c=210kg/cm2 con Acero Ø1/2@0.20mts (10.80x1.50x0.25)m</t>
  </si>
  <si>
    <t>E</t>
  </si>
  <si>
    <t>CALLE 7 ESQ. CALLE 3 (Long=8.70m; Ancho Promedio=1.50m)</t>
  </si>
  <si>
    <t>Excavacion a Mano  (8.70x1.50x0.60) mts</t>
  </si>
  <si>
    <t>Hormigon Ciclopeo  (8.70x1.50x0.35)m</t>
  </si>
  <si>
    <t>Hormigon en Losa f´c=210kg/cm2 con Acero Ø1/2@0.20mts (8.70x1.50x0.25)m</t>
  </si>
  <si>
    <t>F</t>
  </si>
  <si>
    <t>Excavacion a Mano  (8.40x1.50x0.60) mts</t>
  </si>
  <si>
    <t>Hormigon Ciclopeo  (8.40x1.50x0.35)m</t>
  </si>
  <si>
    <t>Hormigon en Losa f´c=210kg/cm2 con Acero Ø1/2@0.20mts (8.40x1.50x0.25)m</t>
  </si>
  <si>
    <t>G</t>
  </si>
  <si>
    <t>Excavacion a Mano  (8.10x1.50x0.60) mts</t>
  </si>
  <si>
    <t>Hormigon Ciclopeo  (8.10x1.50x0.35)m</t>
  </si>
  <si>
    <t>Hormigon en Losa f´c=210kg/cm2 con Acero Ø1/2@0.20mts (8.10x1.50x0.25)m</t>
  </si>
  <si>
    <t>H</t>
  </si>
  <si>
    <t>Excavacion a Mano  (7.10x1.50x0.60) mts</t>
  </si>
  <si>
    <t>Hormigon Ciclopeo  (7.10x1.50x0.35)m</t>
  </si>
  <si>
    <t>Hormigon en Losa f´c=210kg/cm2 con Acero Ø1/2@0.20mts (7.10x1.50x0.25)m</t>
  </si>
  <si>
    <t>Excavacion a Mano  (6.50x1.50x0.60) mts</t>
  </si>
  <si>
    <t>Hormigon Ciclopeo  (6.50x1.50x0.35)m</t>
  </si>
  <si>
    <t>Hormigon en Losa f´c=210kg/cm2 con Acero Ø1/2@0.20mts (6.50x1.50x0.25)m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</si>
  <si>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</si>
  <si>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</si>
  <si>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</si>
  <si>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</si>
  <si>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</si>
  <si>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</si>
  <si>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PRELIMINARES</t>
  </si>
  <si>
    <t>Suministro e Instalacion de Valla Informativa de Obra</t>
  </si>
  <si>
    <t>UND</t>
  </si>
  <si>
    <t xml:space="preserve">Limpieza, Corte, desbroce y desyerbo </t>
  </si>
  <si>
    <t>m2</t>
  </si>
  <si>
    <t>Excavacion Material Inservible</t>
  </si>
  <si>
    <t>Corte Arboles con Sierra</t>
  </si>
  <si>
    <t xml:space="preserve"> SECTOR SARAH GABRIELA, VILLA MELLA.</t>
  </si>
  <si>
    <t>LIMPIEZA, CHAPEO, FUMIGACION Y SANEAMIENTO DE CAÑADA</t>
  </si>
  <si>
    <t xml:space="preserve">PRELIMINARES </t>
  </si>
  <si>
    <t xml:space="preserve">Acondicionamiento del area a trabajar </t>
  </si>
  <si>
    <t xml:space="preserve">LIMPIEZA DE REGISTRO </t>
  </si>
  <si>
    <t>Limpieza registro dentro de fundacion heces fecales (5 und (1.40x1.40x1.50)mts</t>
  </si>
  <si>
    <t>Limpieza registro de heces fecales  (1.20x1.20x4.00)mts</t>
  </si>
  <si>
    <t xml:space="preserve">Traslado de Material Insevible </t>
  </si>
  <si>
    <t>LIMPIEZA DE ALCANTARILLA</t>
  </si>
  <si>
    <t>Limpieza de tuberias 36" soterrada</t>
  </si>
  <si>
    <t>LIMPIEZA DE CANALETAS TIPO CAJON</t>
  </si>
  <si>
    <t xml:space="preserve">LIMPIEZA DE PLANTA DE TRATAMIENTO </t>
  </si>
  <si>
    <t>Limpieza planta tratamiento heces fecales</t>
  </si>
  <si>
    <t>Sacar heces fecales hacia area de bote por callejones</t>
  </si>
  <si>
    <t>MISCESLANEO</t>
  </si>
  <si>
    <t>Pared de block 6" con zapata 3 linea</t>
  </si>
  <si>
    <t>pa</t>
  </si>
  <si>
    <t>Piso de hormigon e=0.10mts</t>
  </si>
  <si>
    <t>M3</t>
  </si>
  <si>
    <t>acondicionamiento para vaciado piso hormigon</t>
  </si>
  <si>
    <t>Confecion registro de block 1.50x1.50x1.50</t>
  </si>
  <si>
    <t>Tapas de hormigon armado (1.5*1.5 aproximadamente)</t>
  </si>
  <si>
    <t>ud</t>
  </si>
  <si>
    <t>Parrillas de hierro (1.3*1.3 aproximadamente)</t>
  </si>
  <si>
    <t xml:space="preserve">Bote completo (cedimentos,heces fecal y potes de los registro y planta de tratamiento) incluye Traslado </t>
  </si>
  <si>
    <t>SOLUCIÓN DE DRENAJE</t>
  </si>
  <si>
    <t xml:space="preserve"> SECTOR LA MINA, LOS GUARICANOS</t>
  </si>
  <si>
    <t>III</t>
  </si>
  <si>
    <t>II</t>
  </si>
  <si>
    <t xml:space="preserve">SABANA PERDIDA, VILLA MELLA Y GUARICANOS </t>
  </si>
  <si>
    <t xml:space="preserve">SECTOR LOS COORDINADORES, SABANA PERDIDA </t>
  </si>
  <si>
    <t>CALLE MELLA</t>
  </si>
  <si>
    <t>Limpieza de Registro (1.00x1.00x1.30)mts</t>
  </si>
  <si>
    <t xml:space="preserve">Bote de Material Insevible </t>
  </si>
  <si>
    <t>Tapa de Registro en Hormigon e=0.12mts</t>
  </si>
  <si>
    <t>Limpieza de Tuberia de 24"</t>
  </si>
  <si>
    <t>Translado y Bote de Material Limpieza de Tuberia de 24".</t>
  </si>
  <si>
    <t>Suministro y colocacion de Parrilla de Varilla 1/2"</t>
  </si>
  <si>
    <t xml:space="preserve">CONSTRUCCION DE REGISTRO </t>
  </si>
  <si>
    <t>REGISTRO 1.90x1.50x2.20</t>
  </si>
  <si>
    <t>Excavacion con Retroexcavadora para Registro (1.90x1.50x2.20)mts</t>
  </si>
  <si>
    <t>Platea Hormigon Armado con Ø3/8"@0.20mts A.D. Hormigon f´c=210kg/cm2  (1.90x1.50x0.10)mts</t>
  </si>
  <si>
    <t>Muro de Block de 6" con ø3/8''@0.60mts Camara Llena h=2.00mts</t>
  </si>
  <si>
    <t xml:space="preserve">Pañete en Muros </t>
  </si>
  <si>
    <t>Losa Hormigon Armado con Ø3/8"@0.20mts A.D. Hormigon f´c=210kg/cm2  (1.90x1.50x0.10)mts</t>
  </si>
  <si>
    <t>Suministro y Colocacion de Tapa Cuadrada de Hormigon</t>
  </si>
  <si>
    <t>REGISTRO 2.00x2.50x2.70</t>
  </si>
  <si>
    <t>Excavacion con Retroexcavadora para Registro (2.00x2.50x2.70)mts</t>
  </si>
  <si>
    <t>Platea Hormigon Armado con Ø3/8"@0.20mts A.D. Hormigon f´c=210kg/cm2  (2.00x2.50x0.10)mts</t>
  </si>
  <si>
    <t>Muro de Block de 6" con ø3/8''@0.60mts Camara Llena h=2.50mts</t>
  </si>
  <si>
    <t>Losa Hormigon Armado con Ø3/8"@0.20mts A.D. Hormigon f´c=210kg/cm2  (2.00x2.50x0.10)mts</t>
  </si>
  <si>
    <t>Suministro y Colocacion de Tapa Cuadrada de Hormgon</t>
  </si>
  <si>
    <t>CALLE DUARTE</t>
  </si>
  <si>
    <t>Limpieza de Registro (1.00x1.00x1.50)mts</t>
  </si>
  <si>
    <t>Limpieza de Registro (1.00x1.00x1.80)mts</t>
  </si>
  <si>
    <t>ENCAJONAMIENTO CAÑADA</t>
  </si>
  <si>
    <t>Limpieza de Cañada</t>
  </si>
  <si>
    <t xml:space="preserve">LIMPIEZA FINAL </t>
  </si>
  <si>
    <t xml:space="preserve">Limpieza Continua y Final </t>
  </si>
  <si>
    <t xml:space="preserve">LIMPIEZA DE REGISTRO, CONSTRUCCION CONTENES Y TAPA EN HORMIGON PARA REGISTRO </t>
  </si>
  <si>
    <t>Letrero de Obra</t>
  </si>
  <si>
    <t>CALLE SÁNCHEZ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</si>
  <si>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</si>
  <si>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</si>
  <si>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</si>
  <si>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</si>
  <si>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</si>
  <si>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</si>
  <si>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</si>
  <si>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</si>
  <si>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</si>
  <si>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</si>
  <si>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 por:</t>
  </si>
  <si>
    <t xml:space="preserve"> Revisado por:</t>
  </si>
  <si>
    <t>ING. YASMIN COMAS AMADOR</t>
  </si>
  <si>
    <t>Unidad de Presupuestos</t>
  </si>
  <si>
    <t xml:space="preserve"> </t>
  </si>
  <si>
    <t xml:space="preserve">ING. CRESENCIO PAREDES POLANCO </t>
  </si>
  <si>
    <t>Director Obras Públicas Municipales</t>
  </si>
  <si>
    <t>ING. PATRIA PEGUERO</t>
  </si>
  <si>
    <t>Enc. Unidad de Presupuestos</t>
  </si>
  <si>
    <t xml:space="preserve"> LIMPIEZA  DE CAÑADA Y SOLUCIÓN DE DRENAJE</t>
  </si>
  <si>
    <t xml:space="preserve">SECTORES: , SARAH GABRIELA, LA MINA Y LOS COORDINADORES </t>
  </si>
  <si>
    <t xml:space="preserve"> SABANA PERDIDA </t>
  </si>
  <si>
    <t>. CALLE ANTONIO GUZMAN (Long=23.10mts)</t>
  </si>
  <si>
    <t>CALLE L (Long=12.00mts)</t>
  </si>
  <si>
    <t xml:space="preserve"> ANTONIO GUZMAN (Long=24.20mts)</t>
  </si>
  <si>
    <t>SABANA PERDIDA</t>
  </si>
  <si>
    <t>SABANA PERDIDA (Long=10.80m; Ancho Promedio=1.50m)</t>
  </si>
  <si>
    <t>SABANA PERDIDA  (Long=8.40m; Ancho Promedio=1.50m)</t>
  </si>
  <si>
    <t>SABANA PERDIDA (Long=8.10m; Ancho Promedio=1.50m)</t>
  </si>
  <si>
    <t>SABANA PERDIDA (Long=7.10m; Ancho Promedio=1.50m)</t>
  </si>
  <si>
    <t>SABANA PERDIDA (Long=6.50m; Ancho Promedio=1.50m)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</si>
</sst>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0.000"/>
  </numFmts>
  <fonts count="15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14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Fill="1" applyBorder="1" applyAlignment="1">
      <alignment horizontal="left" wrapText="1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10" fillId="2" borderId="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vertical="center"/>
    </xf>
    <xf numFmtId="166" fontId="10" fillId="4" borderId="17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/>
    </xf>
    <xf numFmtId="4" fontId="11" fillId="0" borderId="18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4" fontId="4" fillId="0" borderId="19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right" vertical="center"/>
    </xf>
    <xf numFmtId="4" fontId="12" fillId="0" borderId="6" xfId="0" applyNumberFormat="1" applyFont="1" applyFill="1" applyBorder="1" applyAlignment="1">
      <alignment horizontal="right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0" fontId="4" fillId="0" borderId="5" xfId="0" applyFont="1" applyBorder="1"/>
    <xf numFmtId="0" fontId="4" fillId="0" borderId="0" xfId="0" applyFont="1" applyBorder="1" applyAlignment="1"/>
    <xf numFmtId="4" fontId="12" fillId="0" borderId="2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right" vertical="center"/>
    </xf>
    <xf numFmtId="166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10" fillId="3" borderId="7" xfId="0" applyNumberFormat="1" applyFont="1" applyFill="1" applyBorder="1" applyAlignment="1">
      <alignment horizontal="right" vertical="center"/>
    </xf>
    <xf numFmtId="2" fontId="10" fillId="0" borderId="5" xfId="0" applyNumberFormat="1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right" vertical="center"/>
    </xf>
    <xf numFmtId="166" fontId="10" fillId="3" borderId="20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2" fontId="11" fillId="3" borderId="15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" fontId="11" fillId="3" borderId="15" xfId="0" applyNumberFormat="1" applyFont="1" applyFill="1" applyBorder="1" applyAlignment="1">
      <alignment horizontal="right" vertical="center"/>
    </xf>
    <xf numFmtId="4" fontId="11" fillId="3" borderId="1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4" borderId="23" xfId="0" applyNumberFormat="1" applyFont="1" applyFill="1" applyBorder="1" applyAlignment="1">
      <alignment horizontal="right" vertical="center"/>
    </xf>
    <xf numFmtId="4" fontId="4" fillId="0" borderId="19" xfId="0" applyNumberFormat="1" applyFont="1" applyBorder="1"/>
    <xf numFmtId="4" fontId="10" fillId="5" borderId="20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vertical="center"/>
    </xf>
    <xf numFmtId="4" fontId="10" fillId="5" borderId="16" xfId="0" applyNumberFormat="1" applyFont="1" applyFill="1" applyBorder="1" applyAlignment="1">
      <alignment horizontal="right" vertical="center"/>
    </xf>
    <xf numFmtId="4" fontId="11" fillId="0" borderId="19" xfId="0" applyNumberFormat="1" applyFont="1" applyFill="1" applyBorder="1" applyAlignment="1">
      <alignment horizontal="right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25" xfId="0" applyNumberFormat="1" applyFont="1" applyFill="1" applyBorder="1" applyAlignment="1">
      <alignment horizontal="right" vertical="center"/>
    </xf>
    <xf numFmtId="0" fontId="2" fillId="0" borderId="26" xfId="0" applyFont="1" applyFill="1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4" fontId="10" fillId="0" borderId="30" xfId="0" applyNumberFormat="1" applyFont="1" applyFill="1" applyBorder="1" applyAlignment="1"/>
    <xf numFmtId="0" fontId="4" fillId="0" borderId="10" xfId="0" applyFont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right" vertical="center"/>
    </xf>
    <xf numFmtId="4" fontId="12" fillId="5" borderId="20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4" fillId="4" borderId="20" xfId="0" applyFont="1" applyFill="1" applyBorder="1"/>
    <xf numFmtId="0" fontId="4" fillId="4" borderId="15" xfId="0" applyFont="1" applyFill="1" applyBorder="1"/>
    <xf numFmtId="4" fontId="12" fillId="4" borderId="16" xfId="0" applyNumberFormat="1" applyFont="1" applyFill="1" applyBorder="1" applyAlignment="1">
      <alignment horizontal="right" vertical="center"/>
    </xf>
    <xf numFmtId="4" fontId="11" fillId="0" borderId="34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4" fontId="4" fillId="0" borderId="35" xfId="0" applyNumberFormat="1" applyFont="1" applyFill="1" applyBorder="1" applyAlignment="1">
      <alignment horizontal="center" vertical="center"/>
    </xf>
    <xf numFmtId="4" fontId="4" fillId="0" borderId="35" xfId="0" applyNumberFormat="1" applyFont="1" applyFill="1" applyBorder="1" applyAlignment="1">
      <alignment horizontal="right" vertical="center"/>
    </xf>
    <xf numFmtId="4" fontId="4" fillId="0" borderId="36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4" fontId="11" fillId="0" borderId="35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right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right" vertical="center"/>
    </xf>
    <xf numFmtId="4" fontId="11" fillId="0" borderId="37" xfId="0" applyNumberFormat="1" applyFont="1" applyFill="1" applyBorder="1" applyAlignment="1">
      <alignment horizontal="right" vertical="center"/>
    </xf>
    <xf numFmtId="4" fontId="11" fillId="0" borderId="31" xfId="0" applyNumberFormat="1" applyFont="1" applyFill="1" applyBorder="1" applyAlignment="1">
      <alignment horizontal="right" vertical="center"/>
    </xf>
    <xf numFmtId="166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/>
    <xf numFmtId="2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/>
    </xf>
    <xf numFmtId="4" fontId="10" fillId="4" borderId="6" xfId="0" applyNumberFormat="1" applyFont="1" applyFill="1" applyBorder="1" applyAlignment="1"/>
    <xf numFmtId="2" fontId="12" fillId="5" borderId="20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right" vertical="center"/>
    </xf>
    <xf numFmtId="4" fontId="10" fillId="5" borderId="1" xfId="0" applyNumberFormat="1" applyFont="1" applyFill="1" applyBorder="1" applyAlignment="1">
      <alignment horizontal="center" vertical="center"/>
    </xf>
    <xf numFmtId="0" fontId="4" fillId="6" borderId="20" xfId="0" applyFont="1" applyFill="1" applyBorder="1"/>
    <xf numFmtId="0" fontId="12" fillId="6" borderId="13" xfId="0" applyFont="1" applyFill="1" applyBorder="1" applyAlignment="1">
      <alignment horizontal="left" vertical="center" wrapText="1"/>
    </xf>
    <xf numFmtId="0" fontId="4" fillId="6" borderId="13" xfId="0" applyFont="1" applyFill="1" applyBorder="1"/>
    <xf numFmtId="4" fontId="12" fillId="6" borderId="14" xfId="0" applyNumberFormat="1" applyFont="1" applyFill="1" applyBorder="1" applyAlignment="1">
      <alignment horizontal="right" vertical="center"/>
    </xf>
    <xf numFmtId="0" fontId="4" fillId="5" borderId="13" xfId="0" applyFont="1" applyFill="1" applyBorder="1"/>
    <xf numFmtId="0" fontId="11" fillId="6" borderId="2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4" fontId="4" fillId="0" borderId="37" xfId="0" applyNumberFormat="1" applyFont="1" applyFill="1" applyBorder="1" applyAlignment="1">
      <alignment horizontal="right" vertical="center"/>
    </xf>
    <xf numFmtId="4" fontId="4" fillId="0" borderId="11" xfId="0" applyNumberFormat="1" applyFont="1" applyFill="1" applyBorder="1" applyAlignment="1">
      <alignment horizontal="right" vertical="center"/>
    </xf>
    <xf numFmtId="4" fontId="10" fillId="5" borderId="24" xfId="0" applyNumberFormat="1" applyFont="1" applyFill="1" applyBorder="1" applyAlignment="1">
      <alignment horizontal="center" vertical="center"/>
    </xf>
    <xf numFmtId="4" fontId="10" fillId="5" borderId="14" xfId="0" applyNumberFormat="1" applyFont="1" applyFill="1" applyBorder="1" applyAlignment="1">
      <alignment horizontal="right" vertical="center"/>
    </xf>
    <xf numFmtId="4" fontId="10" fillId="6" borderId="20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right" vertical="center"/>
    </xf>
    <xf numFmtId="0" fontId="4" fillId="5" borderId="15" xfId="0" applyFont="1" applyFill="1" applyBorder="1"/>
    <xf numFmtId="4" fontId="10" fillId="0" borderId="33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4" fontId="11" fillId="6" borderId="20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2" fontId="11" fillId="0" borderId="19" xfId="0" applyNumberFormat="1" applyFont="1" applyBorder="1" applyAlignment="1">
      <alignment horizontal="center" vertical="center"/>
    </xf>
    <xf numFmtId="10" fontId="11" fillId="0" borderId="19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0" fontId="2" fillId="0" borderId="26" xfId="0" applyFont="1" applyBorder="1"/>
    <xf numFmtId="0" fontId="11" fillId="0" borderId="2" xfId="0" applyFont="1" applyBorder="1" applyAlignment="1">
      <alignment vertical="center"/>
    </xf>
    <xf numFmtId="2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right" vertical="center"/>
    </xf>
    <xf numFmtId="4" fontId="10" fillId="0" borderId="39" xfId="0" applyNumberFormat="1" applyFont="1" applyBorder="1"/>
    <xf numFmtId="4" fontId="11" fillId="0" borderId="1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165" fontId="10" fillId="0" borderId="41" xfId="5" applyFont="1" applyFill="1" applyBorder="1" applyAlignment="1">
      <alignment horizontal="right" vertical="center"/>
    </xf>
    <xf numFmtId="4" fontId="10" fillId="0" borderId="41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right" vertical="center"/>
    </xf>
    <xf numFmtId="0" fontId="11" fillId="0" borderId="42" xfId="0" applyFont="1" applyBorder="1" applyAlignment="1">
      <alignment horizontal="center" vertical="center"/>
    </xf>
    <xf numFmtId="167" fontId="11" fillId="0" borderId="43" xfId="0" applyNumberFormat="1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right" vertical="center"/>
    </xf>
    <xf numFmtId="0" fontId="4" fillId="0" borderId="51" xfId="0" applyFont="1" applyBorder="1" applyAlignment="1">
      <alignment vertical="center"/>
    </xf>
    <xf numFmtId="0" fontId="5" fillId="0" borderId="0" xfId="0" applyFont="1" applyBorder="1"/>
    <xf numFmtId="4" fontId="11" fillId="0" borderId="52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/>
    </xf>
    <xf numFmtId="0" fontId="4" fillId="0" borderId="53" xfId="0" applyFont="1" applyBorder="1" applyAlignment="1">
      <alignment horizontal="right" vertical="center"/>
    </xf>
    <xf numFmtId="0" fontId="4" fillId="0" borderId="54" xfId="0" applyFont="1" applyBorder="1" applyAlignment="1">
      <alignment vertical="center"/>
    </xf>
    <xf numFmtId="4" fontId="10" fillId="0" borderId="38" xfId="0" applyNumberFormat="1" applyFont="1" applyFill="1" applyBorder="1" applyAlignment="1">
      <alignment horizontal="right" vertical="center"/>
    </xf>
    <xf numFmtId="4" fontId="11" fillId="0" borderId="36" xfId="0" applyNumberFormat="1" applyFont="1" applyFill="1" applyBorder="1" applyAlignment="1">
      <alignment horizontal="right" vertical="center"/>
    </xf>
    <xf numFmtId="4" fontId="11" fillId="3" borderId="14" xfId="0" applyNumberFormat="1" applyFont="1" applyFill="1" applyBorder="1" applyAlignment="1">
      <alignment horizontal="right" vertical="center"/>
    </xf>
    <xf numFmtId="0" fontId="2" fillId="0" borderId="33" xfId="0" applyFont="1" applyBorder="1"/>
    <xf numFmtId="4" fontId="10" fillId="0" borderId="1" xfId="0" applyNumberFormat="1" applyFont="1" applyBorder="1"/>
    <xf numFmtId="0" fontId="10" fillId="0" borderId="15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2" fillId="0" borderId="13" xfId="0" applyFont="1" applyBorder="1" applyAlignment="1"/>
    <xf numFmtId="0" fontId="2" fillId="0" borderId="13" xfId="0" applyFont="1" applyBorder="1"/>
    <xf numFmtId="0" fontId="2" fillId="0" borderId="14" xfId="0" applyFont="1" applyBorder="1"/>
    <xf numFmtId="4" fontId="11" fillId="0" borderId="7" xfId="0" applyNumberFormat="1" applyFont="1" applyFill="1" applyBorder="1" applyAlignment="1">
      <alignment horizontal="right" vertical="center"/>
    </xf>
    <xf numFmtId="4" fontId="10" fillId="0" borderId="17" xfId="0" applyNumberFormat="1" applyFont="1" applyFill="1" applyBorder="1" applyAlignment="1">
      <alignment horizontal="right" vertical="center"/>
    </xf>
    <xf numFmtId="4" fontId="10" fillId="0" borderId="32" xfId="0" applyNumberFormat="1" applyFont="1" applyFill="1" applyBorder="1" applyAlignment="1">
      <alignment horizontal="right" vertical="center"/>
    </xf>
    <xf numFmtId="4" fontId="10" fillId="0" borderId="55" xfId="0" applyNumberFormat="1" applyFont="1" applyFill="1" applyBorder="1" applyAlignment="1">
      <alignment horizontal="right" vertical="center"/>
    </xf>
    <xf numFmtId="4" fontId="10" fillId="0" borderId="32" xfId="0" applyNumberFormat="1" applyFont="1" applyFill="1" applyBorder="1" applyAlignment="1"/>
    <xf numFmtId="4" fontId="10" fillId="0" borderId="33" xfId="0" applyNumberFormat="1" applyFont="1" applyFill="1" applyBorder="1" applyAlignment="1"/>
    <xf numFmtId="0" fontId="4" fillId="0" borderId="56" xfId="0" applyFont="1" applyBorder="1" applyAlignment="1">
      <alignment vertical="center"/>
    </xf>
    <xf numFmtId="0" fontId="4" fillId="0" borderId="24" xfId="0" applyFont="1" applyBorder="1"/>
    <xf numFmtId="0" fontId="4" fillId="0" borderId="13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6" fillId="6" borderId="5" xfId="0" applyFont="1" applyFill="1" applyBorder="1" applyAlignment="1">
      <alignment horizontal="right" vertical="center"/>
    </xf>
    <xf numFmtId="4" fontId="2" fillId="0" borderId="0" xfId="0" applyNumberFormat="1" applyFont="1"/>
    <xf numFmtId="0" fontId="10" fillId="0" borderId="2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/>
    </xf>
    <xf numFmtId="4" fontId="10" fillId="0" borderId="32" xfId="0" applyNumberFormat="1" applyFont="1" applyFill="1" applyBorder="1" applyAlignment="1">
      <alignment horizontal="center"/>
    </xf>
    <xf numFmtId="4" fontId="10" fillId="0" borderId="33" xfId="0" applyNumberFormat="1" applyFont="1" applyFill="1" applyBorder="1" applyAlignment="1">
      <alignment horizontal="center"/>
    </xf>
    <xf numFmtId="4" fontId="10" fillId="0" borderId="17" xfId="0" applyNumberFormat="1" applyFont="1" applyFill="1" applyBorder="1" applyAlignment="1">
      <alignment horizontal="right"/>
    </xf>
    <xf numFmtId="4" fontId="10" fillId="0" borderId="33" xfId="0" applyNumberFormat="1" applyFont="1" applyFill="1" applyBorder="1" applyAlignment="1">
      <alignment horizontal="right"/>
    </xf>
    <xf numFmtId="0" fontId="10" fillId="3" borderId="8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166" fontId="10" fillId="0" borderId="20" xfId="0" applyNumberFormat="1" applyFont="1" applyFill="1" applyBorder="1" applyAlignment="1">
      <alignment horizontal="right" vertical="center"/>
    </xf>
    <xf numFmtId="166" fontId="10" fillId="0" borderId="15" xfId="0" applyNumberFormat="1" applyFont="1" applyFill="1" applyBorder="1" applyAlignment="1">
      <alignment horizontal="right" vertical="center"/>
    </xf>
    <xf numFmtId="0" fontId="10" fillId="4" borderId="20" xfId="0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right" vertical="center"/>
    </xf>
    <xf numFmtId="0" fontId="10" fillId="4" borderId="22" xfId="0" applyFont="1" applyFill="1" applyBorder="1" applyAlignment="1">
      <alignment horizontal="right" vertical="center"/>
    </xf>
    <xf numFmtId="4" fontId="10" fillId="0" borderId="32" xfId="0" applyNumberFormat="1" applyFont="1" applyFill="1" applyBorder="1" applyAlignment="1">
      <alignment horizontal="right"/>
    </xf>
    <xf numFmtId="0" fontId="12" fillId="4" borderId="15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4" fontId="10" fillId="0" borderId="17" xfId="0" applyNumberFormat="1" applyFont="1" applyFill="1" applyBorder="1" applyAlignment="1">
      <alignment horizontal="right" wrapText="1"/>
    </xf>
    <xf numFmtId="4" fontId="10" fillId="0" borderId="32" xfId="0" applyNumberFormat="1" applyFont="1" applyFill="1" applyBorder="1" applyAlignment="1">
      <alignment horizontal="right" wrapText="1"/>
    </xf>
    <xf numFmtId="4" fontId="10" fillId="0" borderId="33" xfId="0" applyNumberFormat="1" applyFont="1" applyFill="1" applyBorder="1" applyAlignment="1">
      <alignment horizontal="right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4" fontId="12" fillId="0" borderId="17" xfId="0" applyNumberFormat="1" applyFont="1" applyFill="1" applyBorder="1" applyAlignment="1">
      <alignment horizontal="right"/>
    </xf>
    <xf numFmtId="4" fontId="12" fillId="0" borderId="32" xfId="0" applyNumberFormat="1" applyFont="1" applyFill="1" applyBorder="1" applyAlignment="1">
      <alignment horizontal="right"/>
    </xf>
    <xf numFmtId="4" fontId="12" fillId="0" borderId="33" xfId="0" applyNumberFormat="1" applyFont="1" applyFill="1" applyBorder="1" applyAlignment="1">
      <alignment horizontal="right"/>
    </xf>
    <xf numFmtId="0" fontId="12" fillId="5" borderId="15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13" xfId="1" applyFont="1" applyFill="1" applyBorder="1" applyAlignment="1">
      <alignment horizontal="left" vertical="center"/>
    </xf>
    <xf numFmtId="0" fontId="11" fillId="2" borderId="14" xfId="1" applyFont="1" applyFill="1" applyBorder="1" applyAlignment="1">
      <alignment horizontal="left" vertical="center"/>
    </xf>
    <xf numFmtId="0" fontId="11" fillId="2" borderId="15" xfId="1" applyFont="1" applyFill="1" applyBorder="1" applyAlignment="1">
      <alignment horizontal="left" vertical="center"/>
    </xf>
    <xf numFmtId="0" fontId="11" fillId="2" borderId="16" xfId="1" applyFont="1" applyFill="1" applyBorder="1" applyAlignment="1">
      <alignment horizontal="left" vertical="center"/>
    </xf>
    <xf numFmtId="14" fontId="11" fillId="2" borderId="10" xfId="1" applyNumberFormat="1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2" borderId="5" xfId="1" applyFont="1" applyFill="1" applyBorder="1" applyAlignment="1">
      <alignment horizontal="right" vertical="top"/>
    </xf>
    <xf numFmtId="0" fontId="10" fillId="2" borderId="0" xfId="1" applyFont="1" applyFill="1" applyBorder="1" applyAlignment="1">
      <alignment horizontal="right" vertical="top"/>
    </xf>
    <xf numFmtId="0" fontId="11" fillId="2" borderId="13" xfId="1" applyFont="1" applyFill="1" applyBorder="1" applyAlignment="1">
      <alignment horizontal="left" vertical="center" wrapText="1"/>
    </xf>
    <xf numFmtId="0" fontId="11" fillId="2" borderId="14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top" wrapText="1"/>
    </xf>
    <xf numFmtId="0" fontId="11" fillId="2" borderId="11" xfId="1" applyFont="1" applyFill="1" applyBorder="1" applyAlignment="1">
      <alignment horizontal="left" vertical="top" wrapText="1"/>
    </xf>
  </cellXfs>
  <cellStyles count="6">
    <cellStyle name="Millares 4" xfId="5"/>
    <cellStyle name="Millares 7" xfId="3"/>
    <cellStyle name="Normal" xfId="0" builtinId="0"/>
    <cellStyle name="Normal 10 2" xfId="4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304801</xdr:colOff>
      <xdr:row>0</xdr:row>
      <xdr:rowOff>253189</xdr:rowOff>
    </xdr:from>
    <xdr:to>
      <xdr:col>7</xdr:col>
      <xdr:colOff>666750</xdr:colOff>
      <xdr:row>0</xdr:row>
      <xdr:rowOff>1444347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253189"/>
          <a:ext cx="7896224" cy="1191158"/>
        </a:xfrm>
        <a:prstGeom prst="rect">
          <a:avLst/>
        </a:prstGeom>
      </xdr:spPr>
    </xdr:pic>
    <xdr:clientData/>
  </xdr:twoCellAnchor>
  <xdr:twoCellAnchor>
    <xdr:from>
      <xdr:col>2</xdr:col>
      <xdr:colOff>2530151</xdr:colOff>
      <xdr:row>230</xdr:row>
      <xdr:rowOff>225799</xdr:rowOff>
    </xdr:from>
    <xdr:to>
      <xdr:col>5</xdr:col>
      <xdr:colOff>943671</xdr:colOff>
      <xdr:row>230</xdr:row>
      <xdr:rowOff>225800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53E731E7-C8B1-4166-8481-48398E941252}"/>
            </a:ext>
          </a:extLst>
        </xdr:cNvPr>
        <xdr:cNvCxnSpPr/>
      </xdr:nvCxnSpPr>
      <xdr:spPr>
        <a:xfrm>
          <a:off x="3787451" y="68881999"/>
          <a:ext cx="337604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666749</xdr:colOff>
      <xdr:row>224</xdr:row>
      <xdr:rowOff>222252</xdr:rowOff>
    </xdr:from>
    <xdr:to>
      <xdr:col>2</xdr:col>
      <xdr:colOff>3471333</xdr:colOff>
      <xdr:row>224</xdr:row>
      <xdr:rowOff>232834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51937778-760F-4FF3-B2C3-09DF75C934ED}"/>
            </a:ext>
          </a:extLst>
        </xdr:cNvPr>
        <xdr:cNvCxnSpPr/>
      </xdr:nvCxnSpPr>
      <xdr:spPr>
        <a:xfrm>
          <a:off x="1924049" y="67783077"/>
          <a:ext cx="2804584" cy="105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652080</xdr:colOff>
      <xdr:row>224</xdr:row>
      <xdr:rowOff>226358</xdr:rowOff>
    </xdr:from>
    <xdr:to>
      <xdr:col>7</xdr:col>
      <xdr:colOff>764349</xdr:colOff>
      <xdr:row>224</xdr:row>
      <xdr:rowOff>226359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266C86DD-7C3E-4C6B-898A-8E82EAA7737D}"/>
            </a:ext>
          </a:extLst>
        </xdr:cNvPr>
        <xdr:cNvCxnSpPr/>
      </xdr:nvCxnSpPr>
      <xdr:spPr>
        <a:xfrm>
          <a:off x="6100380" y="67777658"/>
          <a:ext cx="2960244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4"/>
  <sheetViews>
    <sheetView tabSelected="1" view="pageBreakPreview" zoomScaleSheetLayoutView="100" workbookViewId="0">
      <selection activeCell="G12" sqref="G12"/>
    </sheetView>
  </sheetViews>
  <sheetFormatPr baseColWidth="10" defaultColWidth="11.42578125" defaultRowHeight="15" x14ac:dyDescent="0.25"/>
  <cols>
    <col min="1" max="1" width="11.42578125" style="5"/>
    <col min="2" max="2" width="7.42578125" style="5" customWidth="1"/>
    <col min="3" max="3" width="52.140625" style="9" customWidth="1"/>
    <col min="4" max="4" width="10.7109375" style="5" customWidth="1"/>
    <col min="5" max="5" width="12" style="5" customWidth="1"/>
    <col min="6" max="6" width="13.7109375" style="5" customWidth="1"/>
    <col min="7" max="8" width="17" style="5" customWidth="1"/>
    <col min="9" max="9" width="11.42578125" style="5" hidden="1" customWidth="1"/>
    <col min="10" max="10" width="14.5703125" style="5" hidden="1" customWidth="1"/>
    <col min="11" max="16384" width="11.42578125" style="5"/>
  </cols>
  <sheetData>
    <row r="1" spans="2:8" ht="119.25" customHeight="1" x14ac:dyDescent="0.25">
      <c r="B1" s="185"/>
      <c r="C1" s="186"/>
      <c r="D1" s="187"/>
      <c r="E1" s="187"/>
      <c r="F1" s="187"/>
      <c r="G1" s="187"/>
      <c r="H1" s="188"/>
    </row>
    <row r="2" spans="2:8" ht="23.25" customHeight="1" x14ac:dyDescent="0.25">
      <c r="B2" s="257"/>
      <c r="C2" s="258"/>
      <c r="D2" s="258"/>
      <c r="E2" s="258"/>
      <c r="F2" s="258"/>
      <c r="G2" s="258"/>
      <c r="H2" s="259"/>
    </row>
    <row r="3" spans="2:8" ht="23.25" customHeight="1" x14ac:dyDescent="0.25">
      <c r="B3" s="260"/>
      <c r="C3" s="261"/>
      <c r="D3" s="262"/>
      <c r="E3" s="262"/>
      <c r="F3" s="262"/>
      <c r="G3" s="262"/>
      <c r="H3" s="263"/>
    </row>
    <row r="4" spans="2:8" ht="38.25" customHeight="1" thickBot="1" x14ac:dyDescent="0.3">
      <c r="B4" s="253" t="s">
        <v>70</v>
      </c>
      <c r="C4" s="254"/>
      <c r="D4" s="264" t="s">
        <v>164</v>
      </c>
      <c r="E4" s="264"/>
      <c r="F4" s="264"/>
      <c r="G4" s="264"/>
      <c r="H4" s="265"/>
    </row>
    <row r="5" spans="2:8" ht="44.25" customHeight="1" thickBot="1" x14ac:dyDescent="0.3">
      <c r="B5" s="253" t="s">
        <v>71</v>
      </c>
      <c r="C5" s="254"/>
      <c r="D5" s="255" t="s">
        <v>165</v>
      </c>
      <c r="E5" s="255"/>
      <c r="F5" s="255"/>
      <c r="G5" s="255"/>
      <c r="H5" s="256"/>
    </row>
    <row r="6" spans="2:8" ht="23.25" customHeight="1" thickBot="1" x14ac:dyDescent="0.3">
      <c r="B6" s="243" t="s">
        <v>72</v>
      </c>
      <c r="C6" s="244"/>
      <c r="D6" s="245" t="s">
        <v>112</v>
      </c>
      <c r="E6" s="245"/>
      <c r="F6" s="245"/>
      <c r="G6" s="245"/>
      <c r="H6" s="246"/>
    </row>
    <row r="7" spans="2:8" ht="23.25" customHeight="1" thickBot="1" x14ac:dyDescent="0.3">
      <c r="B7" s="243" t="s">
        <v>73</v>
      </c>
      <c r="C7" s="244"/>
      <c r="D7" s="247" t="s">
        <v>74</v>
      </c>
      <c r="E7" s="247"/>
      <c r="F7" s="247"/>
      <c r="G7" s="247"/>
      <c r="H7" s="248"/>
    </row>
    <row r="8" spans="2:8" ht="23.25" customHeight="1" thickBot="1" x14ac:dyDescent="0.3">
      <c r="B8" s="243" t="s">
        <v>75</v>
      </c>
      <c r="C8" s="244"/>
      <c r="D8" s="249">
        <v>44739</v>
      </c>
      <c r="E8" s="249"/>
      <c r="F8" s="249"/>
      <c r="G8" s="11"/>
      <c r="H8" s="12"/>
    </row>
    <row r="9" spans="2:8" ht="17.45" thickBot="1" x14ac:dyDescent="0.35">
      <c r="B9" s="3"/>
      <c r="C9" s="8"/>
      <c r="D9" s="2"/>
      <c r="E9" s="1"/>
      <c r="F9" s="1"/>
      <c r="G9" s="1"/>
      <c r="H9" s="4"/>
    </row>
    <row r="10" spans="2:8" ht="18" thickBot="1" x14ac:dyDescent="0.3">
      <c r="B10" s="13" t="s">
        <v>0</v>
      </c>
      <c r="C10" s="14" t="s">
        <v>1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</row>
    <row r="11" spans="2:8" ht="19.5" thickBot="1" x14ac:dyDescent="0.3">
      <c r="B11" s="65">
        <v>1</v>
      </c>
      <c r="C11" s="66" t="s">
        <v>76</v>
      </c>
      <c r="D11" s="67"/>
      <c r="E11" s="68"/>
      <c r="F11" s="68"/>
      <c r="G11" s="68"/>
      <c r="H11" s="69"/>
    </row>
    <row r="12" spans="2:8" ht="38.25" thickBot="1" x14ac:dyDescent="0.3">
      <c r="B12" s="20">
        <f>+B11+0.01</f>
        <v>1.01</v>
      </c>
      <c r="C12" s="21" t="s">
        <v>77</v>
      </c>
      <c r="D12" s="70">
        <v>1</v>
      </c>
      <c r="E12" s="71" t="s">
        <v>78</v>
      </c>
      <c r="F12" s="70"/>
      <c r="G12" s="72"/>
      <c r="H12" s="73"/>
    </row>
    <row r="13" spans="2:8" ht="19.5" thickBot="1" x14ac:dyDescent="0.35">
      <c r="B13" s="74"/>
      <c r="C13" s="75"/>
      <c r="D13" s="76"/>
      <c r="E13" s="75"/>
      <c r="F13" s="75"/>
      <c r="G13" s="77"/>
      <c r="H13" s="78"/>
    </row>
    <row r="14" spans="2:8" ht="26.25" customHeight="1" thickBot="1" x14ac:dyDescent="0.35">
      <c r="B14" s="129" t="s">
        <v>22</v>
      </c>
      <c r="C14" s="88" t="s">
        <v>166</v>
      </c>
      <c r="D14" s="114"/>
      <c r="E14" s="87"/>
      <c r="F14" s="87"/>
      <c r="G14" s="87"/>
      <c r="H14" s="115"/>
    </row>
    <row r="15" spans="2:8" ht="24.75" customHeight="1" thickBot="1" x14ac:dyDescent="0.3">
      <c r="B15" s="116">
        <v>2</v>
      </c>
      <c r="C15" s="66" t="s">
        <v>15</v>
      </c>
      <c r="D15" s="80"/>
      <c r="E15" s="80"/>
      <c r="F15" s="80"/>
      <c r="G15" s="80"/>
      <c r="H15" s="81"/>
    </row>
    <row r="16" spans="2:8" ht="19.5" thickBot="1" x14ac:dyDescent="0.3">
      <c r="B16" s="17" t="s">
        <v>16</v>
      </c>
      <c r="C16" s="203"/>
      <c r="D16" s="18"/>
      <c r="E16" s="18"/>
      <c r="F16" s="18"/>
      <c r="G16" s="18"/>
      <c r="H16" s="19"/>
    </row>
    <row r="17" spans="2:8" ht="21" customHeight="1" x14ac:dyDescent="0.25">
      <c r="B17" s="20">
        <f>+B15+0.01</f>
        <v>2.0099999999999998</v>
      </c>
      <c r="C17" s="21" t="s">
        <v>24</v>
      </c>
      <c r="D17" s="22">
        <f>+ROUND(42,2)</f>
        <v>42</v>
      </c>
      <c r="E17" s="22" t="s">
        <v>14</v>
      </c>
      <c r="F17" s="23"/>
      <c r="G17" s="23"/>
      <c r="H17" s="24"/>
    </row>
    <row r="18" spans="2:8" ht="21.75" customHeight="1" x14ac:dyDescent="0.25">
      <c r="B18" s="25">
        <f>+B17+0.01</f>
        <v>2.0199999999999996</v>
      </c>
      <c r="C18" s="26" t="s">
        <v>25</v>
      </c>
      <c r="D18" s="27">
        <f>+ROUND(114*2+37.7,2)</f>
        <v>265.7</v>
      </c>
      <c r="E18" s="27" t="s">
        <v>14</v>
      </c>
      <c r="F18" s="23"/>
      <c r="G18" s="28"/>
      <c r="H18" s="24"/>
    </row>
    <row r="19" spans="2:8" ht="24.75" customHeight="1" x14ac:dyDescent="0.25">
      <c r="B19" s="25">
        <f t="shared" ref="B19:B22" si="0">+B18+0.01</f>
        <v>2.0299999999999994</v>
      </c>
      <c r="C19" s="26" t="s">
        <v>32</v>
      </c>
      <c r="D19" s="27">
        <f>+ROUND(D18*0.3*0.2,2)</f>
        <v>15.94</v>
      </c>
      <c r="E19" s="27" t="s">
        <v>23</v>
      </c>
      <c r="F19" s="23"/>
      <c r="G19" s="28"/>
      <c r="H19" s="24"/>
    </row>
    <row r="20" spans="2:8" ht="20.25" customHeight="1" x14ac:dyDescent="0.25">
      <c r="B20" s="25">
        <f t="shared" si="0"/>
        <v>2.0399999999999991</v>
      </c>
      <c r="C20" s="26" t="s">
        <v>26</v>
      </c>
      <c r="D20" s="27">
        <f>ROUND(D19*1.2,2)</f>
        <v>19.13</v>
      </c>
      <c r="E20" s="27" t="s">
        <v>23</v>
      </c>
      <c r="F20" s="23"/>
      <c r="G20" s="28"/>
      <c r="H20" s="24"/>
    </row>
    <row r="21" spans="2:8" ht="23.25" customHeight="1" x14ac:dyDescent="0.25">
      <c r="B21" s="25">
        <f t="shared" si="0"/>
        <v>2.0499999999999989</v>
      </c>
      <c r="C21" s="26" t="s">
        <v>33</v>
      </c>
      <c r="D21" s="27">
        <f>ROUNDUP(D18*0.3*0.2,2)</f>
        <v>15.95</v>
      </c>
      <c r="E21" s="27" t="s">
        <v>23</v>
      </c>
      <c r="F21" s="23"/>
      <c r="G21" s="28"/>
      <c r="H21" s="24"/>
    </row>
    <row r="22" spans="2:8" ht="36" customHeight="1" x14ac:dyDescent="0.25">
      <c r="B22" s="25">
        <f t="shared" si="0"/>
        <v>2.0599999999999987</v>
      </c>
      <c r="C22" s="26" t="s">
        <v>27</v>
      </c>
      <c r="D22" s="27">
        <f>+D18</f>
        <v>265.7</v>
      </c>
      <c r="E22" s="27" t="s">
        <v>14</v>
      </c>
      <c r="F22" s="23"/>
      <c r="G22" s="28"/>
      <c r="H22" s="24"/>
    </row>
    <row r="23" spans="2:8" ht="19.5" thickBot="1" x14ac:dyDescent="0.35">
      <c r="B23" s="29"/>
      <c r="C23" s="30"/>
      <c r="D23" s="7"/>
      <c r="E23" s="7"/>
      <c r="F23" s="7"/>
      <c r="G23" s="7"/>
      <c r="H23" s="31"/>
    </row>
    <row r="24" spans="2:8" ht="19.5" thickBot="1" x14ac:dyDescent="0.3">
      <c r="B24" s="32" t="s">
        <v>18</v>
      </c>
      <c r="C24" s="33" t="s">
        <v>167</v>
      </c>
      <c r="D24" s="34"/>
      <c r="E24" s="34"/>
      <c r="F24" s="34"/>
      <c r="G24" s="34"/>
      <c r="H24" s="35"/>
    </row>
    <row r="25" spans="2:8" ht="18.75" x14ac:dyDescent="0.25">
      <c r="B25" s="20">
        <f>+B22+0.01</f>
        <v>2.0699999999999985</v>
      </c>
      <c r="C25" s="21" t="s">
        <v>25</v>
      </c>
      <c r="D25" s="22">
        <f>+ROUND(23.1,2)</f>
        <v>23.1</v>
      </c>
      <c r="E25" s="22" t="s">
        <v>14</v>
      </c>
      <c r="F25" s="23"/>
      <c r="G25" s="23"/>
      <c r="H25" s="24"/>
    </row>
    <row r="26" spans="2:8" ht="18.75" x14ac:dyDescent="0.25">
      <c r="B26" s="25">
        <f t="shared" ref="B26:B29" si="1">+B25+0.01</f>
        <v>2.0799999999999983</v>
      </c>
      <c r="C26" s="26" t="s">
        <v>34</v>
      </c>
      <c r="D26" s="27">
        <f>+ROUND(228*0.3*0.2,2)</f>
        <v>13.68</v>
      </c>
      <c r="E26" s="27" t="s">
        <v>23</v>
      </c>
      <c r="F26" s="28"/>
      <c r="G26" s="28"/>
      <c r="H26" s="24"/>
    </row>
    <row r="27" spans="2:8" ht="18.75" x14ac:dyDescent="0.25">
      <c r="B27" s="25">
        <f t="shared" si="1"/>
        <v>2.0899999999999981</v>
      </c>
      <c r="C27" s="26" t="s">
        <v>26</v>
      </c>
      <c r="D27" s="27">
        <f>ROUND(D26*1.2,2)</f>
        <v>16.420000000000002</v>
      </c>
      <c r="E27" s="27" t="s">
        <v>23</v>
      </c>
      <c r="F27" s="28"/>
      <c r="G27" s="28"/>
      <c r="H27" s="24"/>
    </row>
    <row r="28" spans="2:8" ht="18.75" x14ac:dyDescent="0.25">
      <c r="B28" s="25">
        <f t="shared" si="1"/>
        <v>2.0999999999999979</v>
      </c>
      <c r="C28" s="26" t="s">
        <v>35</v>
      </c>
      <c r="D28" s="27">
        <f>ROUNDUP(D25*0.3*0.2,2)</f>
        <v>1.39</v>
      </c>
      <c r="E28" s="27" t="s">
        <v>23</v>
      </c>
      <c r="F28" s="28"/>
      <c r="G28" s="28"/>
      <c r="H28" s="24"/>
    </row>
    <row r="29" spans="2:8" ht="37.5" x14ac:dyDescent="0.25">
      <c r="B29" s="25">
        <f t="shared" si="1"/>
        <v>2.1099999999999977</v>
      </c>
      <c r="C29" s="26" t="s">
        <v>27</v>
      </c>
      <c r="D29" s="27">
        <f>+D25</f>
        <v>23.1</v>
      </c>
      <c r="E29" s="27" t="s">
        <v>14</v>
      </c>
      <c r="F29" s="28"/>
      <c r="G29" s="28"/>
      <c r="H29" s="24"/>
    </row>
    <row r="30" spans="2:8" ht="19.5" thickBot="1" x14ac:dyDescent="0.35">
      <c r="B30" s="29"/>
      <c r="C30" s="30"/>
      <c r="D30" s="7"/>
      <c r="E30" s="7"/>
      <c r="F30" s="7"/>
      <c r="G30" s="7"/>
      <c r="H30" s="31"/>
    </row>
    <row r="31" spans="2:8" ht="26.25" customHeight="1" thickBot="1" x14ac:dyDescent="0.3">
      <c r="B31" s="17" t="s">
        <v>19</v>
      </c>
      <c r="C31" s="202" t="s">
        <v>168</v>
      </c>
      <c r="D31" s="34"/>
      <c r="E31" s="34"/>
      <c r="F31" s="34"/>
      <c r="G31" s="34"/>
      <c r="H31" s="35"/>
    </row>
    <row r="32" spans="2:8" ht="20.25" customHeight="1" x14ac:dyDescent="0.25">
      <c r="B32" s="20">
        <f>+B29+0.01</f>
        <v>2.1199999999999974</v>
      </c>
      <c r="C32" s="21" t="s">
        <v>25</v>
      </c>
      <c r="D32" s="22">
        <f>+ROUND(12,2)</f>
        <v>12</v>
      </c>
      <c r="E32" s="22" t="s">
        <v>14</v>
      </c>
      <c r="F32" s="23"/>
      <c r="G32" s="23"/>
      <c r="H32" s="24"/>
    </row>
    <row r="33" spans="2:8" ht="21" customHeight="1" x14ac:dyDescent="0.25">
      <c r="B33" s="25">
        <f t="shared" ref="B33:B36" si="2">+B32+0.01</f>
        <v>2.1299999999999972</v>
      </c>
      <c r="C33" s="26" t="s">
        <v>36</v>
      </c>
      <c r="D33" s="27">
        <f>+ROUND(D32*0.3*0.2,2)</f>
        <v>0.72</v>
      </c>
      <c r="E33" s="27" t="s">
        <v>23</v>
      </c>
      <c r="F33" s="28"/>
      <c r="G33" s="28"/>
      <c r="H33" s="24"/>
    </row>
    <row r="34" spans="2:8" ht="20.25" customHeight="1" x14ac:dyDescent="0.25">
      <c r="B34" s="25">
        <f t="shared" si="2"/>
        <v>2.139999999999997</v>
      </c>
      <c r="C34" s="26" t="s">
        <v>26</v>
      </c>
      <c r="D34" s="27">
        <f>ROUND(D33*1.2,2)</f>
        <v>0.86</v>
      </c>
      <c r="E34" s="27" t="s">
        <v>23</v>
      </c>
      <c r="F34" s="28"/>
      <c r="G34" s="28"/>
      <c r="H34" s="24"/>
    </row>
    <row r="35" spans="2:8" ht="23.25" customHeight="1" x14ac:dyDescent="0.25">
      <c r="B35" s="25">
        <f t="shared" si="2"/>
        <v>2.1499999999999968</v>
      </c>
      <c r="C35" s="26" t="s">
        <v>37</v>
      </c>
      <c r="D35" s="27">
        <f>ROUNDUP(D32*0.3*0.2,2)</f>
        <v>0.72</v>
      </c>
      <c r="E35" s="27" t="s">
        <v>23</v>
      </c>
      <c r="F35" s="28"/>
      <c r="G35" s="28"/>
      <c r="H35" s="24"/>
    </row>
    <row r="36" spans="2:8" ht="38.25" customHeight="1" x14ac:dyDescent="0.25">
      <c r="B36" s="25">
        <f t="shared" si="2"/>
        <v>2.1599999999999966</v>
      </c>
      <c r="C36" s="26" t="s">
        <v>27</v>
      </c>
      <c r="D36" s="27">
        <f>+D32</f>
        <v>12</v>
      </c>
      <c r="E36" s="27" t="s">
        <v>14</v>
      </c>
      <c r="F36" s="28"/>
      <c r="G36" s="28"/>
      <c r="H36" s="24"/>
    </row>
    <row r="37" spans="2:8" ht="19.5" thickBot="1" x14ac:dyDescent="0.35">
      <c r="B37" s="29"/>
      <c r="C37" s="30"/>
      <c r="D37" s="7"/>
      <c r="E37" s="7"/>
      <c r="F37" s="7"/>
      <c r="G37" s="7"/>
      <c r="H37" s="31"/>
    </row>
    <row r="38" spans="2:8" ht="26.25" customHeight="1" thickBot="1" x14ac:dyDescent="0.3">
      <c r="B38" s="32" t="s">
        <v>21</v>
      </c>
      <c r="C38" s="236" t="s">
        <v>169</v>
      </c>
      <c r="D38" s="237"/>
      <c r="E38" s="237"/>
      <c r="F38" s="237"/>
      <c r="G38" s="237"/>
      <c r="H38" s="238"/>
    </row>
    <row r="39" spans="2:8" ht="20.25" customHeight="1" x14ac:dyDescent="0.25">
      <c r="B39" s="20">
        <f>+B36+0.01</f>
        <v>2.1699999999999964</v>
      </c>
      <c r="C39" s="21" t="s">
        <v>25</v>
      </c>
      <c r="D39" s="22">
        <f>+ROUND(24.2,2)</f>
        <v>24.2</v>
      </c>
      <c r="E39" s="22" t="s">
        <v>14</v>
      </c>
      <c r="F39" s="23"/>
      <c r="G39" s="23"/>
      <c r="H39" s="24"/>
    </row>
    <row r="40" spans="2:8" ht="21.75" customHeight="1" x14ac:dyDescent="0.25">
      <c r="B40" s="25">
        <f t="shared" ref="B40:B43" si="3">+B39+0.01</f>
        <v>2.1799999999999962</v>
      </c>
      <c r="C40" s="26" t="s">
        <v>38</v>
      </c>
      <c r="D40" s="27">
        <f>+ROUND(D39*0.3*0.2,2)</f>
        <v>1.45</v>
      </c>
      <c r="E40" s="27" t="s">
        <v>23</v>
      </c>
      <c r="F40" s="28"/>
      <c r="G40" s="28"/>
      <c r="H40" s="24"/>
    </row>
    <row r="41" spans="2:8" ht="20.25" customHeight="1" x14ac:dyDescent="0.25">
      <c r="B41" s="25">
        <f t="shared" si="3"/>
        <v>2.1899999999999959</v>
      </c>
      <c r="C41" s="26" t="s">
        <v>26</v>
      </c>
      <c r="D41" s="27">
        <f>ROUND(D40*1.2,2)</f>
        <v>1.74</v>
      </c>
      <c r="E41" s="27" t="s">
        <v>23</v>
      </c>
      <c r="F41" s="28"/>
      <c r="G41" s="28"/>
      <c r="H41" s="24"/>
    </row>
    <row r="42" spans="2:8" ht="25.5" customHeight="1" x14ac:dyDescent="0.25">
      <c r="B42" s="25">
        <f t="shared" si="3"/>
        <v>2.1999999999999957</v>
      </c>
      <c r="C42" s="26" t="s">
        <v>39</v>
      </c>
      <c r="D42" s="27">
        <f>ROUNDUP(D39*0.3*0.2,2)</f>
        <v>1.46</v>
      </c>
      <c r="E42" s="27" t="s">
        <v>23</v>
      </c>
      <c r="F42" s="28"/>
      <c r="G42" s="28"/>
      <c r="H42" s="24"/>
    </row>
    <row r="43" spans="2:8" ht="34.5" customHeight="1" x14ac:dyDescent="0.25">
      <c r="B43" s="25">
        <f t="shared" si="3"/>
        <v>2.2099999999999955</v>
      </c>
      <c r="C43" s="26" t="s">
        <v>27</v>
      </c>
      <c r="D43" s="27">
        <f>+D39</f>
        <v>24.2</v>
      </c>
      <c r="E43" s="27" t="s">
        <v>14</v>
      </c>
      <c r="F43" s="28"/>
      <c r="G43" s="28"/>
      <c r="H43" s="24"/>
    </row>
    <row r="44" spans="2:8" ht="19.5" thickBot="1" x14ac:dyDescent="0.35">
      <c r="B44" s="29"/>
      <c r="C44" s="30"/>
      <c r="D44" s="7"/>
      <c r="E44" s="7"/>
      <c r="F44" s="7"/>
      <c r="G44" s="7"/>
      <c r="H44" s="31"/>
    </row>
    <row r="45" spans="2:8" ht="24" customHeight="1" thickBot="1" x14ac:dyDescent="0.3">
      <c r="B45" s="65">
        <v>3</v>
      </c>
      <c r="C45" s="117" t="s">
        <v>17</v>
      </c>
      <c r="D45" s="118"/>
      <c r="E45" s="118"/>
      <c r="F45" s="118"/>
      <c r="G45" s="118"/>
      <c r="H45" s="119"/>
    </row>
    <row r="46" spans="2:8" ht="20.25" customHeight="1" thickBot="1" x14ac:dyDescent="0.3">
      <c r="B46" s="36" t="s">
        <v>16</v>
      </c>
      <c r="C46" s="250" t="s">
        <v>40</v>
      </c>
      <c r="D46" s="251"/>
      <c r="E46" s="251"/>
      <c r="F46" s="251"/>
      <c r="G46" s="251"/>
      <c r="H46" s="35"/>
    </row>
    <row r="47" spans="2:8" ht="21" customHeight="1" x14ac:dyDescent="0.3">
      <c r="B47" s="25">
        <f>+B45+0.01</f>
        <v>3.01</v>
      </c>
      <c r="C47" s="21" t="s">
        <v>41</v>
      </c>
      <c r="D47" s="22">
        <f>ROUNDUP(9.8*1.5*0.6,2)</f>
        <v>8.82</v>
      </c>
      <c r="E47" s="22" t="s">
        <v>23</v>
      </c>
      <c r="F47" s="64"/>
      <c r="G47" s="23"/>
      <c r="H47" s="24"/>
    </row>
    <row r="48" spans="2:8" ht="18.75" customHeight="1" x14ac:dyDescent="0.25">
      <c r="B48" s="25">
        <f t="shared" ref="B48:B50" si="4">+B47+0.01</f>
        <v>3.0199999999999996</v>
      </c>
      <c r="C48" s="26" t="s">
        <v>26</v>
      </c>
      <c r="D48" s="27">
        <f>ROUNDUP(D47*1.2,2)</f>
        <v>10.59</v>
      </c>
      <c r="E48" s="27" t="s">
        <v>23</v>
      </c>
      <c r="F48" s="28"/>
      <c r="G48" s="28"/>
      <c r="H48" s="24"/>
    </row>
    <row r="49" spans="2:8" ht="21.75" customHeight="1" x14ac:dyDescent="0.25">
      <c r="B49" s="25">
        <f t="shared" si="4"/>
        <v>3.0299999999999994</v>
      </c>
      <c r="C49" s="26" t="s">
        <v>42</v>
      </c>
      <c r="D49" s="27">
        <f>ROUNDUP(9.8*1.5*0.35,2)</f>
        <v>5.1499999999999995</v>
      </c>
      <c r="E49" s="27" t="s">
        <v>23</v>
      </c>
      <c r="F49" s="23"/>
      <c r="G49" s="28"/>
      <c r="H49" s="24"/>
    </row>
    <row r="50" spans="2:8" ht="38.25" customHeight="1" x14ac:dyDescent="0.25">
      <c r="B50" s="25">
        <f t="shared" si="4"/>
        <v>3.0399999999999991</v>
      </c>
      <c r="C50" s="26" t="s">
        <v>43</v>
      </c>
      <c r="D50" s="27">
        <f>ROUNDUP(9.8*1.5*0.25,2)</f>
        <v>3.6799999999999997</v>
      </c>
      <c r="E50" s="27" t="s">
        <v>23</v>
      </c>
      <c r="F50" s="23"/>
      <c r="G50" s="28"/>
      <c r="H50" s="24"/>
    </row>
    <row r="51" spans="2:8" ht="19.5" thickBot="1" x14ac:dyDescent="0.35">
      <c r="B51" s="29"/>
      <c r="C51" s="37"/>
      <c r="D51" s="7"/>
      <c r="E51" s="7"/>
      <c r="F51" s="7"/>
      <c r="G51" s="7"/>
      <c r="H51" s="31"/>
    </row>
    <row r="52" spans="2:8" ht="19.5" customHeight="1" thickBot="1" x14ac:dyDescent="0.3">
      <c r="B52" s="32" t="s">
        <v>18</v>
      </c>
      <c r="C52" s="250" t="s">
        <v>20</v>
      </c>
      <c r="D52" s="251"/>
      <c r="E52" s="251"/>
      <c r="F52" s="251"/>
      <c r="G52" s="251"/>
      <c r="H52" s="252"/>
    </row>
    <row r="53" spans="2:8" ht="18.75" customHeight="1" x14ac:dyDescent="0.3">
      <c r="B53" s="25">
        <f>+B50+0.01</f>
        <v>3.0499999999999989</v>
      </c>
      <c r="C53" s="21" t="s">
        <v>28</v>
      </c>
      <c r="D53" s="22">
        <f>ROUNDUP(6.8*1.5*0.6,2)</f>
        <v>6.12</v>
      </c>
      <c r="E53" s="22" t="s">
        <v>23</v>
      </c>
      <c r="F53" s="64"/>
      <c r="G53" s="23"/>
      <c r="H53" s="24"/>
    </row>
    <row r="54" spans="2:8" ht="21.75" customHeight="1" x14ac:dyDescent="0.25">
      <c r="B54" s="25">
        <f t="shared" ref="B54:B56" si="5">+B53+0.01</f>
        <v>3.0599999999999987</v>
      </c>
      <c r="C54" s="26" t="s">
        <v>26</v>
      </c>
      <c r="D54" s="27">
        <f>ROUNDUP(D53*1.2,2)</f>
        <v>7.35</v>
      </c>
      <c r="E54" s="27" t="s">
        <v>23</v>
      </c>
      <c r="F54" s="28"/>
      <c r="G54" s="28"/>
      <c r="H54" s="24"/>
    </row>
    <row r="55" spans="2:8" ht="19.5" customHeight="1" x14ac:dyDescent="0.25">
      <c r="B55" s="25">
        <f t="shared" si="5"/>
        <v>3.0699999999999985</v>
      </c>
      <c r="C55" s="26" t="s">
        <v>29</v>
      </c>
      <c r="D55" s="27">
        <f>ROUNDUP(6.8*1.5*0.35,2)</f>
        <v>3.57</v>
      </c>
      <c r="E55" s="27" t="s">
        <v>23</v>
      </c>
      <c r="F55" s="23"/>
      <c r="G55" s="28"/>
      <c r="H55" s="24"/>
    </row>
    <row r="56" spans="2:8" ht="38.25" customHeight="1" x14ac:dyDescent="0.25">
      <c r="B56" s="25">
        <f t="shared" si="5"/>
        <v>3.0799999999999983</v>
      </c>
      <c r="C56" s="26" t="s">
        <v>30</v>
      </c>
      <c r="D56" s="27">
        <f>ROUNDUP(6.8*1.5*0.25,2)</f>
        <v>2.5499999999999998</v>
      </c>
      <c r="E56" s="27" t="s">
        <v>23</v>
      </c>
      <c r="F56" s="23"/>
      <c r="G56" s="28"/>
      <c r="H56" s="24"/>
    </row>
    <row r="57" spans="2:8" ht="19.5" thickBot="1" x14ac:dyDescent="0.35">
      <c r="B57" s="29"/>
      <c r="C57" s="37"/>
      <c r="D57" s="7"/>
      <c r="E57" s="7"/>
      <c r="F57" s="7"/>
      <c r="G57" s="7"/>
      <c r="H57" s="31"/>
    </row>
    <row r="58" spans="2:8" ht="22.5" customHeight="1" thickBot="1" x14ac:dyDescent="0.3">
      <c r="B58" s="32" t="s">
        <v>19</v>
      </c>
      <c r="C58" s="236" t="s">
        <v>170</v>
      </c>
      <c r="D58" s="237"/>
      <c r="E58" s="237"/>
      <c r="F58" s="237"/>
      <c r="G58" s="34"/>
      <c r="H58" s="35"/>
    </row>
    <row r="59" spans="2:8" ht="20.25" customHeight="1" x14ac:dyDescent="0.3">
      <c r="B59" s="25">
        <f>+B56+0.01</f>
        <v>3.0899999999999981</v>
      </c>
      <c r="C59" s="21" t="s">
        <v>44</v>
      </c>
      <c r="D59" s="22">
        <f>ROUNDUP(8.2*1.5*0.6,2)</f>
        <v>7.38</v>
      </c>
      <c r="E59" s="22" t="s">
        <v>23</v>
      </c>
      <c r="F59" s="64"/>
      <c r="G59" s="23"/>
      <c r="H59" s="24"/>
    </row>
    <row r="60" spans="2:8" ht="18.75" customHeight="1" x14ac:dyDescent="0.25">
      <c r="B60" s="25">
        <f t="shared" ref="B60:B62" si="6">+B59+0.01</f>
        <v>3.0999999999999979</v>
      </c>
      <c r="C60" s="26" t="s">
        <v>26</v>
      </c>
      <c r="D60" s="27">
        <f>ROUNDUP(D59*1.2,2)</f>
        <v>8.86</v>
      </c>
      <c r="E60" s="27" t="s">
        <v>23</v>
      </c>
      <c r="F60" s="28"/>
      <c r="G60" s="28"/>
      <c r="H60" s="24"/>
    </row>
    <row r="61" spans="2:8" ht="21" customHeight="1" x14ac:dyDescent="0.25">
      <c r="B61" s="25">
        <f t="shared" si="6"/>
        <v>3.1099999999999977</v>
      </c>
      <c r="C61" s="26" t="s">
        <v>45</v>
      </c>
      <c r="D61" s="27">
        <f>ROUNDUP(8.2*1.5*0.35,2)</f>
        <v>4.3099999999999996</v>
      </c>
      <c r="E61" s="27" t="s">
        <v>23</v>
      </c>
      <c r="F61" s="23"/>
      <c r="G61" s="28"/>
      <c r="H61" s="24"/>
    </row>
    <row r="62" spans="2:8" ht="38.25" customHeight="1" x14ac:dyDescent="0.25">
      <c r="B62" s="25">
        <f t="shared" si="6"/>
        <v>3.1199999999999974</v>
      </c>
      <c r="C62" s="26" t="s">
        <v>46</v>
      </c>
      <c r="D62" s="27">
        <f>ROUNDUP(8.2*1.5*0.25,2)</f>
        <v>3.0799999999999996</v>
      </c>
      <c r="E62" s="27" t="s">
        <v>23</v>
      </c>
      <c r="F62" s="23"/>
      <c r="G62" s="28"/>
      <c r="H62" s="24"/>
    </row>
    <row r="63" spans="2:8" ht="19.5" thickBot="1" x14ac:dyDescent="0.35">
      <c r="B63" s="29"/>
      <c r="C63" s="37"/>
      <c r="D63" s="7"/>
      <c r="E63" s="7"/>
      <c r="F63" s="7"/>
      <c r="G63" s="7"/>
      <c r="H63" s="31"/>
    </row>
    <row r="64" spans="2:8" ht="21.75" customHeight="1" thickBot="1" x14ac:dyDescent="0.3">
      <c r="B64" s="32" t="s">
        <v>21</v>
      </c>
      <c r="C64" s="236" t="s">
        <v>171</v>
      </c>
      <c r="D64" s="237"/>
      <c r="E64" s="237"/>
      <c r="F64" s="237"/>
      <c r="G64" s="34"/>
      <c r="H64" s="35"/>
    </row>
    <row r="65" spans="2:8" ht="18.75" customHeight="1" x14ac:dyDescent="0.25">
      <c r="B65" s="25">
        <f>+B62+0.01</f>
        <v>3.1299999999999972</v>
      </c>
      <c r="C65" s="21" t="s">
        <v>47</v>
      </c>
      <c r="D65" s="22">
        <f>ROUNDUP(10.8*1.5*0.6,2)</f>
        <v>9.7200000000000006</v>
      </c>
      <c r="E65" s="22" t="s">
        <v>23</v>
      </c>
      <c r="F65" s="23"/>
      <c r="G65" s="23"/>
      <c r="H65" s="24"/>
    </row>
    <row r="66" spans="2:8" ht="20.25" customHeight="1" x14ac:dyDescent="0.25">
      <c r="B66" s="25">
        <f t="shared" ref="B66:B68" si="7">+B65+0.01</f>
        <v>3.139999999999997</v>
      </c>
      <c r="C66" s="26" t="s">
        <v>26</v>
      </c>
      <c r="D66" s="27">
        <f>ROUNDUP(D65*1.2,2)</f>
        <v>11.67</v>
      </c>
      <c r="E66" s="27" t="s">
        <v>23</v>
      </c>
      <c r="F66" s="28"/>
      <c r="G66" s="28"/>
      <c r="H66" s="24"/>
    </row>
    <row r="67" spans="2:8" ht="20.25" customHeight="1" x14ac:dyDescent="0.25">
      <c r="B67" s="25">
        <f t="shared" si="7"/>
        <v>3.1499999999999968</v>
      </c>
      <c r="C67" s="26" t="s">
        <v>48</v>
      </c>
      <c r="D67" s="27">
        <f>ROUNDUP(10.8*1.5*0.35,2)</f>
        <v>5.67</v>
      </c>
      <c r="E67" s="27" t="s">
        <v>23</v>
      </c>
      <c r="F67" s="28"/>
      <c r="G67" s="28"/>
      <c r="H67" s="24"/>
    </row>
    <row r="68" spans="2:8" ht="40.5" customHeight="1" x14ac:dyDescent="0.25">
      <c r="B68" s="25">
        <f t="shared" si="7"/>
        <v>3.1599999999999966</v>
      </c>
      <c r="C68" s="26" t="s">
        <v>49</v>
      </c>
      <c r="D68" s="27">
        <f>ROUNDUP(10.8*1.5*0.25,2)</f>
        <v>4.05</v>
      </c>
      <c r="E68" s="27" t="s">
        <v>23</v>
      </c>
      <c r="F68" s="28"/>
      <c r="G68" s="28"/>
      <c r="H68" s="24"/>
    </row>
    <row r="69" spans="2:8" ht="19.5" thickBot="1" x14ac:dyDescent="0.35">
      <c r="B69" s="29"/>
      <c r="C69" s="37"/>
      <c r="D69" s="7"/>
      <c r="E69" s="7"/>
      <c r="F69" s="7"/>
      <c r="G69" s="7"/>
      <c r="H69" s="31"/>
    </row>
    <row r="70" spans="2:8" ht="24" customHeight="1" thickBot="1" x14ac:dyDescent="0.3">
      <c r="B70" s="32" t="s">
        <v>50</v>
      </c>
      <c r="C70" s="236" t="s">
        <v>51</v>
      </c>
      <c r="D70" s="237"/>
      <c r="E70" s="237"/>
      <c r="F70" s="237"/>
      <c r="G70" s="38"/>
      <c r="H70" s="39"/>
    </row>
    <row r="71" spans="2:8" ht="21.75" customHeight="1" x14ac:dyDescent="0.25">
      <c r="B71" s="25">
        <f>+B68+0.01</f>
        <v>3.1699999999999964</v>
      </c>
      <c r="C71" s="21" t="s">
        <v>52</v>
      </c>
      <c r="D71" s="22">
        <f>ROUNDUP(8.7*1.5*0.6,2)</f>
        <v>7.83</v>
      </c>
      <c r="E71" s="22" t="s">
        <v>23</v>
      </c>
      <c r="F71" s="23"/>
      <c r="G71" s="23"/>
      <c r="H71" s="24"/>
    </row>
    <row r="72" spans="2:8" ht="19.5" customHeight="1" x14ac:dyDescent="0.25">
      <c r="B72" s="25">
        <f t="shared" ref="B72:B74" si="8">+B71+0.01</f>
        <v>3.1799999999999962</v>
      </c>
      <c r="C72" s="26" t="s">
        <v>26</v>
      </c>
      <c r="D72" s="27">
        <f>ROUNDUP(D71*1.2,2)</f>
        <v>9.4</v>
      </c>
      <c r="E72" s="27" t="s">
        <v>23</v>
      </c>
      <c r="F72" s="28"/>
      <c r="G72" s="28"/>
      <c r="H72" s="24"/>
    </row>
    <row r="73" spans="2:8" ht="21" customHeight="1" x14ac:dyDescent="0.25">
      <c r="B73" s="25">
        <f t="shared" si="8"/>
        <v>3.1899999999999959</v>
      </c>
      <c r="C73" s="26" t="s">
        <v>53</v>
      </c>
      <c r="D73" s="27">
        <f>ROUNDUP(8.7*1.5*0.35,2)</f>
        <v>4.5699999999999994</v>
      </c>
      <c r="E73" s="27" t="s">
        <v>23</v>
      </c>
      <c r="F73" s="28"/>
      <c r="G73" s="28"/>
      <c r="H73" s="24"/>
    </row>
    <row r="74" spans="2:8" ht="36.75" customHeight="1" x14ac:dyDescent="0.25">
      <c r="B74" s="25">
        <f t="shared" si="8"/>
        <v>3.1999999999999957</v>
      </c>
      <c r="C74" s="26" t="s">
        <v>54</v>
      </c>
      <c r="D74" s="27">
        <f>ROUNDUP(8.7*1.5*0.25,2)</f>
        <v>3.2699999999999996</v>
      </c>
      <c r="E74" s="27" t="s">
        <v>23</v>
      </c>
      <c r="F74" s="28"/>
      <c r="G74" s="28"/>
      <c r="H74" s="24"/>
    </row>
    <row r="75" spans="2:8" ht="19.5" thickBot="1" x14ac:dyDescent="0.35">
      <c r="B75" s="29"/>
      <c r="C75" s="37"/>
      <c r="D75" s="7"/>
      <c r="E75" s="7"/>
      <c r="F75" s="7"/>
      <c r="G75" s="7"/>
      <c r="H75" s="31"/>
    </row>
    <row r="76" spans="2:8" ht="21" customHeight="1" thickBot="1" x14ac:dyDescent="0.3">
      <c r="B76" s="32" t="s">
        <v>55</v>
      </c>
      <c r="C76" s="236" t="s">
        <v>172</v>
      </c>
      <c r="D76" s="237"/>
      <c r="E76" s="237"/>
      <c r="F76" s="237"/>
      <c r="G76" s="38"/>
      <c r="H76" s="39"/>
    </row>
    <row r="77" spans="2:8" ht="21.75" customHeight="1" x14ac:dyDescent="0.25">
      <c r="B77" s="25">
        <f>+B74+0.01</f>
        <v>3.2099999999999955</v>
      </c>
      <c r="C77" s="21" t="s">
        <v>56</v>
      </c>
      <c r="D77" s="22">
        <f>ROUNDUP(8.4*1.5*0.6,2)</f>
        <v>7.56</v>
      </c>
      <c r="E77" s="22" t="s">
        <v>23</v>
      </c>
      <c r="F77" s="23"/>
      <c r="G77" s="23"/>
      <c r="H77" s="24"/>
    </row>
    <row r="78" spans="2:8" ht="21.75" customHeight="1" x14ac:dyDescent="0.25">
      <c r="B78" s="25">
        <f t="shared" ref="B78:B80" si="9">+B77+0.01</f>
        <v>3.2199999999999953</v>
      </c>
      <c r="C78" s="26" t="s">
        <v>26</v>
      </c>
      <c r="D78" s="27">
        <f>ROUNDUP(D77*1.2,2)</f>
        <v>9.08</v>
      </c>
      <c r="E78" s="27" t="s">
        <v>23</v>
      </c>
      <c r="F78" s="28"/>
      <c r="G78" s="28"/>
      <c r="H78" s="24"/>
    </row>
    <row r="79" spans="2:8" ht="21.75" customHeight="1" x14ac:dyDescent="0.25">
      <c r="B79" s="25">
        <f t="shared" si="9"/>
        <v>3.2299999999999951</v>
      </c>
      <c r="C79" s="26" t="s">
        <v>57</v>
      </c>
      <c r="D79" s="27">
        <f>ROUNDUP(8.4*1.5*0.35,2)</f>
        <v>4.41</v>
      </c>
      <c r="E79" s="27" t="s">
        <v>23</v>
      </c>
      <c r="F79" s="28"/>
      <c r="G79" s="28"/>
      <c r="H79" s="24"/>
    </row>
    <row r="80" spans="2:8" ht="36.75" customHeight="1" x14ac:dyDescent="0.25">
      <c r="B80" s="25">
        <f t="shared" si="9"/>
        <v>3.2399999999999949</v>
      </c>
      <c r="C80" s="26" t="s">
        <v>58</v>
      </c>
      <c r="D80" s="27">
        <f>ROUNDUP(8.4*1.5*0.25,2)</f>
        <v>3.15</v>
      </c>
      <c r="E80" s="27" t="s">
        <v>23</v>
      </c>
      <c r="F80" s="28"/>
      <c r="G80" s="28"/>
      <c r="H80" s="24"/>
    </row>
    <row r="81" spans="2:8" ht="19.5" thickBot="1" x14ac:dyDescent="0.35">
      <c r="B81" s="29"/>
      <c r="C81" s="37"/>
      <c r="D81" s="7"/>
      <c r="E81" s="7"/>
      <c r="F81" s="7"/>
      <c r="G81" s="7"/>
      <c r="H81" s="31"/>
    </row>
    <row r="82" spans="2:8" ht="21.75" customHeight="1" thickBot="1" x14ac:dyDescent="0.3">
      <c r="B82" s="32" t="s">
        <v>59</v>
      </c>
      <c r="C82" s="236" t="s">
        <v>173</v>
      </c>
      <c r="D82" s="237"/>
      <c r="E82" s="237"/>
      <c r="F82" s="237"/>
      <c r="G82" s="38"/>
      <c r="H82" s="39"/>
    </row>
    <row r="83" spans="2:8" ht="20.25" customHeight="1" x14ac:dyDescent="0.25">
      <c r="B83" s="25">
        <f>+B80+0.01</f>
        <v>3.2499999999999947</v>
      </c>
      <c r="C83" s="21" t="s">
        <v>60</v>
      </c>
      <c r="D83" s="22">
        <f>ROUNDUP(8.1*1.5*0.6,2)</f>
        <v>7.29</v>
      </c>
      <c r="E83" s="22" t="s">
        <v>23</v>
      </c>
      <c r="F83" s="23"/>
      <c r="G83" s="23"/>
      <c r="H83" s="24"/>
    </row>
    <row r="84" spans="2:8" ht="18.75" x14ac:dyDescent="0.25">
      <c r="B84" s="25">
        <f t="shared" ref="B84:B86" si="10">+B83+0.01</f>
        <v>3.2599999999999945</v>
      </c>
      <c r="C84" s="26" t="s">
        <v>26</v>
      </c>
      <c r="D84" s="27">
        <f>ROUNDUP(D83*1.2,2)</f>
        <v>8.75</v>
      </c>
      <c r="E84" s="27" t="s">
        <v>23</v>
      </c>
      <c r="F84" s="28"/>
      <c r="G84" s="28"/>
      <c r="H84" s="24"/>
    </row>
    <row r="85" spans="2:8" ht="21" customHeight="1" x14ac:dyDescent="0.25">
      <c r="B85" s="25">
        <f t="shared" si="10"/>
        <v>3.2699999999999942</v>
      </c>
      <c r="C85" s="26" t="s">
        <v>61</v>
      </c>
      <c r="D85" s="27">
        <f>ROUNDUP(8.1*1.5*0.35,2)</f>
        <v>4.26</v>
      </c>
      <c r="E85" s="27" t="s">
        <v>23</v>
      </c>
      <c r="F85" s="28"/>
      <c r="G85" s="28"/>
      <c r="H85" s="24"/>
    </row>
    <row r="86" spans="2:8" ht="39.75" customHeight="1" x14ac:dyDescent="0.25">
      <c r="B86" s="25">
        <f t="shared" si="10"/>
        <v>3.279999999999994</v>
      </c>
      <c r="C86" s="26" t="s">
        <v>62</v>
      </c>
      <c r="D86" s="27">
        <f>ROUNDUP(8.1*1.5*0.25,2)</f>
        <v>3.0399999999999996</v>
      </c>
      <c r="E86" s="27" t="s">
        <v>23</v>
      </c>
      <c r="F86" s="28"/>
      <c r="G86" s="28"/>
      <c r="H86" s="24"/>
    </row>
    <row r="87" spans="2:8" ht="19.5" thickBot="1" x14ac:dyDescent="0.35">
      <c r="B87" s="29"/>
      <c r="C87" s="37"/>
      <c r="D87" s="7"/>
      <c r="E87" s="7"/>
      <c r="F87" s="7"/>
      <c r="G87" s="7"/>
      <c r="H87" s="31"/>
    </row>
    <row r="88" spans="2:8" ht="21" customHeight="1" thickBot="1" x14ac:dyDescent="0.3">
      <c r="B88" s="32" t="s">
        <v>63</v>
      </c>
      <c r="C88" s="236" t="s">
        <v>174</v>
      </c>
      <c r="D88" s="237"/>
      <c r="E88" s="237"/>
      <c r="F88" s="237"/>
      <c r="G88" s="237"/>
      <c r="H88" s="238"/>
    </row>
    <row r="89" spans="2:8" ht="21.75" customHeight="1" x14ac:dyDescent="0.25">
      <c r="B89" s="25">
        <f>+B86+0.01</f>
        <v>3.2899999999999938</v>
      </c>
      <c r="C89" s="21" t="s">
        <v>64</v>
      </c>
      <c r="D89" s="22">
        <f>ROUNDUP(7.1*1.5*0.6,2)</f>
        <v>6.39</v>
      </c>
      <c r="E89" s="22" t="s">
        <v>23</v>
      </c>
      <c r="F89" s="23"/>
      <c r="G89" s="23"/>
      <c r="H89" s="24"/>
    </row>
    <row r="90" spans="2:8" ht="18.75" customHeight="1" x14ac:dyDescent="0.25">
      <c r="B90" s="25">
        <f t="shared" ref="B90:B92" si="11">+B89+0.01</f>
        <v>3.2999999999999936</v>
      </c>
      <c r="C90" s="26" t="s">
        <v>26</v>
      </c>
      <c r="D90" s="27">
        <f>ROUNDUP(D89*1.2,2)</f>
        <v>7.67</v>
      </c>
      <c r="E90" s="27" t="s">
        <v>23</v>
      </c>
      <c r="F90" s="28"/>
      <c r="G90" s="28"/>
      <c r="H90" s="24"/>
    </row>
    <row r="91" spans="2:8" ht="23.25" customHeight="1" x14ac:dyDescent="0.25">
      <c r="B91" s="25">
        <f t="shared" si="11"/>
        <v>3.3099999999999934</v>
      </c>
      <c r="C91" s="26" t="s">
        <v>65</v>
      </c>
      <c r="D91" s="27">
        <f>ROUNDUP(7.1*1.5*0.35,2)</f>
        <v>3.73</v>
      </c>
      <c r="E91" s="27" t="s">
        <v>23</v>
      </c>
      <c r="F91" s="28"/>
      <c r="G91" s="28"/>
      <c r="H91" s="24"/>
    </row>
    <row r="92" spans="2:8" ht="37.5" customHeight="1" x14ac:dyDescent="0.25">
      <c r="B92" s="25">
        <f t="shared" si="11"/>
        <v>3.3199999999999932</v>
      </c>
      <c r="C92" s="26" t="s">
        <v>66</v>
      </c>
      <c r="D92" s="27">
        <f>ROUNDUP(7.1*1.5*0.25,2)</f>
        <v>2.67</v>
      </c>
      <c r="E92" s="27" t="s">
        <v>23</v>
      </c>
      <c r="F92" s="28"/>
      <c r="G92" s="28"/>
      <c r="H92" s="24"/>
    </row>
    <row r="93" spans="2:8" ht="19.5" thickBot="1" x14ac:dyDescent="0.35">
      <c r="B93" s="29"/>
      <c r="C93" s="37"/>
      <c r="D93" s="7"/>
      <c r="E93" s="7"/>
      <c r="F93" s="7"/>
      <c r="G93" s="7"/>
      <c r="H93" s="31"/>
    </row>
    <row r="94" spans="2:8" ht="24.75" customHeight="1" thickBot="1" x14ac:dyDescent="0.3">
      <c r="B94" s="32" t="s">
        <v>22</v>
      </c>
      <c r="C94" s="236" t="s">
        <v>175</v>
      </c>
      <c r="D94" s="237"/>
      <c r="E94" s="237"/>
      <c r="F94" s="237"/>
      <c r="G94" s="237"/>
      <c r="H94" s="238"/>
    </row>
    <row r="95" spans="2:8" ht="21.75" customHeight="1" x14ac:dyDescent="0.25">
      <c r="B95" s="92">
        <f>+B92+0.01</f>
        <v>3.329999999999993</v>
      </c>
      <c r="C95" s="93" t="s">
        <v>67</v>
      </c>
      <c r="D95" s="94">
        <f>ROUNDUP(6.5*1.5*0.6,2)</f>
        <v>5.85</v>
      </c>
      <c r="E95" s="94" t="s">
        <v>23</v>
      </c>
      <c r="F95" s="95"/>
      <c r="G95" s="96"/>
      <c r="H95" s="239"/>
    </row>
    <row r="96" spans="2:8" ht="21" customHeight="1" x14ac:dyDescent="0.25">
      <c r="B96" s="25">
        <f t="shared" ref="B96:B98" si="12">+B95+0.01</f>
        <v>3.3399999999999928</v>
      </c>
      <c r="C96" s="26" t="s">
        <v>26</v>
      </c>
      <c r="D96" s="27">
        <f>ROUNDUP(D95*1.2,2)</f>
        <v>7.02</v>
      </c>
      <c r="E96" s="27" t="s">
        <v>23</v>
      </c>
      <c r="F96" s="28"/>
      <c r="G96" s="97"/>
      <c r="H96" s="240"/>
    </row>
    <row r="97" spans="2:8" ht="18.75" customHeight="1" x14ac:dyDescent="0.25">
      <c r="B97" s="25">
        <f t="shared" si="12"/>
        <v>3.3499999999999925</v>
      </c>
      <c r="C97" s="26" t="s">
        <v>68</v>
      </c>
      <c r="D97" s="27">
        <f>ROUNDUP(6.5*1.5*0.35,2)</f>
        <v>3.42</v>
      </c>
      <c r="E97" s="27" t="s">
        <v>23</v>
      </c>
      <c r="F97" s="28"/>
      <c r="G97" s="97"/>
      <c r="H97" s="240"/>
    </row>
    <row r="98" spans="2:8" ht="38.25" customHeight="1" x14ac:dyDescent="0.25">
      <c r="B98" s="25">
        <f t="shared" si="12"/>
        <v>3.3599999999999923</v>
      </c>
      <c r="C98" s="26" t="s">
        <v>69</v>
      </c>
      <c r="D98" s="27">
        <f>ROUNDUP(6.5*1.5*0.25,2)</f>
        <v>2.44</v>
      </c>
      <c r="E98" s="27" t="s">
        <v>23</v>
      </c>
      <c r="F98" s="28"/>
      <c r="G98" s="97"/>
      <c r="H98" s="240"/>
    </row>
    <row r="99" spans="2:8" ht="19.5" thickBot="1" x14ac:dyDescent="0.35">
      <c r="B99" s="98"/>
      <c r="C99" s="79"/>
      <c r="D99" s="99"/>
      <c r="E99" s="99"/>
      <c r="F99" s="99"/>
      <c r="G99" s="100"/>
      <c r="H99" s="241"/>
    </row>
    <row r="100" spans="2:8" ht="19.5" thickBot="1" x14ac:dyDescent="0.3">
      <c r="B100" s="15">
        <v>4</v>
      </c>
      <c r="C100" s="16" t="s">
        <v>7</v>
      </c>
      <c r="D100" s="40"/>
      <c r="E100" s="40"/>
      <c r="F100" s="40"/>
      <c r="G100" s="40"/>
      <c r="H100" s="41"/>
    </row>
    <row r="101" spans="2:8" ht="18.75" x14ac:dyDescent="0.25">
      <c r="B101" s="92">
        <f>+B100+0.01</f>
        <v>4.01</v>
      </c>
      <c r="C101" s="93" t="s">
        <v>12</v>
      </c>
      <c r="D101" s="94">
        <v>1</v>
      </c>
      <c r="E101" s="94" t="s">
        <v>13</v>
      </c>
      <c r="F101" s="95"/>
      <c r="G101" s="130"/>
      <c r="H101" s="239"/>
    </row>
    <row r="102" spans="2:8" ht="19.5" thickBot="1" x14ac:dyDescent="0.35">
      <c r="B102" s="109"/>
      <c r="C102" s="110"/>
      <c r="D102" s="111"/>
      <c r="E102" s="112"/>
      <c r="F102" s="113"/>
      <c r="G102" s="113"/>
      <c r="H102" s="241"/>
    </row>
    <row r="103" spans="2:8" ht="19.5" thickBot="1" x14ac:dyDescent="0.35">
      <c r="B103" s="42"/>
      <c r="C103" s="43"/>
      <c r="D103" s="44"/>
      <c r="E103" s="45"/>
      <c r="F103" s="46"/>
      <c r="G103" s="46"/>
      <c r="H103" s="24"/>
    </row>
    <row r="104" spans="2:8" ht="34.5" customHeight="1" thickBot="1" x14ac:dyDescent="0.35">
      <c r="B104" s="128" t="s">
        <v>111</v>
      </c>
      <c r="C104" s="227" t="s">
        <v>83</v>
      </c>
      <c r="D104" s="227"/>
      <c r="E104" s="227"/>
      <c r="F104" s="227"/>
      <c r="G104" s="90"/>
      <c r="H104" s="91"/>
    </row>
    <row r="105" spans="2:8" ht="22.5" customHeight="1" thickBot="1" x14ac:dyDescent="0.3">
      <c r="B105" s="82">
        <v>5</v>
      </c>
      <c r="C105" s="242" t="s">
        <v>84</v>
      </c>
      <c r="D105" s="242"/>
      <c r="E105" s="242"/>
      <c r="F105" s="242"/>
      <c r="G105" s="83"/>
      <c r="H105" s="84"/>
    </row>
    <row r="106" spans="2:8" ht="18.75" x14ac:dyDescent="0.25">
      <c r="B106" s="92">
        <f>+B105+0.01</f>
        <v>5.01</v>
      </c>
      <c r="C106" s="93" t="s">
        <v>79</v>
      </c>
      <c r="D106" s="101">
        <v>1570</v>
      </c>
      <c r="E106" s="101" t="s">
        <v>80</v>
      </c>
      <c r="F106" s="102"/>
      <c r="G106" s="107"/>
      <c r="H106" s="216"/>
    </row>
    <row r="107" spans="2:8" ht="18.75" x14ac:dyDescent="0.25">
      <c r="B107" s="25">
        <f t="shared" ref="B107:B108" si="13">+B106+0.01</f>
        <v>5.0199999999999996</v>
      </c>
      <c r="C107" s="26" t="s">
        <v>81</v>
      </c>
      <c r="D107" s="85">
        <v>1975</v>
      </c>
      <c r="E107" s="85" t="s">
        <v>23</v>
      </c>
      <c r="F107" s="70"/>
      <c r="G107" s="108"/>
      <c r="H107" s="226"/>
    </row>
    <row r="108" spans="2:8" ht="18.75" x14ac:dyDescent="0.25">
      <c r="B108" s="25">
        <f t="shared" si="13"/>
        <v>5.0299999999999994</v>
      </c>
      <c r="C108" s="26" t="s">
        <v>82</v>
      </c>
      <c r="D108" s="85">
        <v>1</v>
      </c>
      <c r="E108" s="85" t="s">
        <v>13</v>
      </c>
      <c r="F108" s="86"/>
      <c r="G108" s="108"/>
      <c r="H108" s="226"/>
    </row>
    <row r="109" spans="2:8" ht="19.5" thickBot="1" x14ac:dyDescent="0.3">
      <c r="B109" s="103"/>
      <c r="C109" s="104"/>
      <c r="D109" s="105"/>
      <c r="E109" s="105"/>
      <c r="F109" s="106"/>
      <c r="G109" s="106"/>
      <c r="H109" s="217"/>
    </row>
    <row r="110" spans="2:8" ht="19.5" thickBot="1" x14ac:dyDescent="0.3">
      <c r="B110" s="15">
        <v>6</v>
      </c>
      <c r="C110" s="16" t="s">
        <v>7</v>
      </c>
      <c r="D110" s="40"/>
      <c r="E110" s="40"/>
      <c r="F110" s="40"/>
      <c r="G110" s="40"/>
      <c r="H110" s="41"/>
    </row>
    <row r="111" spans="2:8" ht="18.75" x14ac:dyDescent="0.25">
      <c r="B111" s="92">
        <f>+B110+0.01</f>
        <v>6.01</v>
      </c>
      <c r="C111" s="93" t="s">
        <v>12</v>
      </c>
      <c r="D111" s="94">
        <v>1</v>
      </c>
      <c r="E111" s="94" t="s">
        <v>13</v>
      </c>
      <c r="F111" s="95"/>
      <c r="G111" s="96"/>
      <c r="H111" s="239"/>
    </row>
    <row r="112" spans="2:8" ht="19.5" thickBot="1" x14ac:dyDescent="0.35">
      <c r="B112" s="109"/>
      <c r="C112" s="110"/>
      <c r="D112" s="111"/>
      <c r="E112" s="112"/>
      <c r="F112" s="113"/>
      <c r="G112" s="131"/>
      <c r="H112" s="241"/>
    </row>
    <row r="113" spans="2:9" ht="19.5" thickBot="1" x14ac:dyDescent="0.35">
      <c r="B113" s="29"/>
      <c r="C113" s="37"/>
      <c r="D113" s="7"/>
      <c r="E113" s="7"/>
      <c r="F113" s="7"/>
      <c r="G113" s="7"/>
      <c r="H113" s="24"/>
    </row>
    <row r="114" spans="2:9" ht="27" customHeight="1" thickBot="1" x14ac:dyDescent="0.35">
      <c r="B114" s="128" t="s">
        <v>110</v>
      </c>
      <c r="C114" s="227" t="s">
        <v>109</v>
      </c>
      <c r="D114" s="227"/>
      <c r="E114" s="227"/>
      <c r="F114" s="227"/>
      <c r="G114" s="90"/>
      <c r="H114" s="91"/>
    </row>
    <row r="115" spans="2:9" ht="19.5" customHeight="1" thickBot="1" x14ac:dyDescent="0.35">
      <c r="B115" s="121"/>
      <c r="C115" s="122" t="s">
        <v>108</v>
      </c>
      <c r="D115" s="122"/>
      <c r="E115" s="122"/>
      <c r="F115" s="122"/>
      <c r="G115" s="123"/>
      <c r="H115" s="124"/>
    </row>
    <row r="116" spans="2:9" ht="19.5" thickBot="1" x14ac:dyDescent="0.3">
      <c r="B116" s="120">
        <v>7</v>
      </c>
      <c r="C116" s="235" t="s">
        <v>85</v>
      </c>
      <c r="D116" s="232"/>
      <c r="E116" s="232"/>
      <c r="F116" s="232"/>
      <c r="G116" s="232"/>
      <c r="H116" s="234"/>
    </row>
    <row r="117" spans="2:9" ht="18.75" x14ac:dyDescent="0.25">
      <c r="B117" s="25">
        <f>+B116+0.01</f>
        <v>7.01</v>
      </c>
      <c r="C117" s="21" t="s">
        <v>86</v>
      </c>
      <c r="D117" s="71">
        <v>1</v>
      </c>
      <c r="E117" s="71" t="s">
        <v>13</v>
      </c>
      <c r="F117" s="70"/>
      <c r="G117" s="72"/>
      <c r="H117" s="216"/>
    </row>
    <row r="118" spans="2:9" ht="18.75" x14ac:dyDescent="0.25">
      <c r="B118" s="25">
        <f>+B117+0.01</f>
        <v>7.02</v>
      </c>
      <c r="C118" s="26" t="s">
        <v>26</v>
      </c>
      <c r="D118" s="85">
        <f>+ROUND(21.6*2.45,2)</f>
        <v>52.92</v>
      </c>
      <c r="E118" s="85" t="s">
        <v>23</v>
      </c>
      <c r="F118" s="86"/>
      <c r="G118" s="108"/>
      <c r="H118" s="226"/>
    </row>
    <row r="119" spans="2:9" ht="19.5" thickBot="1" x14ac:dyDescent="0.35">
      <c r="B119" s="29"/>
      <c r="C119" s="30"/>
      <c r="D119" s="7"/>
      <c r="E119" s="7"/>
      <c r="F119" s="7"/>
      <c r="G119" s="7"/>
      <c r="H119" s="217"/>
    </row>
    <row r="120" spans="2:9" ht="19.5" thickBot="1" x14ac:dyDescent="0.3">
      <c r="B120" s="65">
        <v>8</v>
      </c>
      <c r="C120" s="232" t="s">
        <v>87</v>
      </c>
      <c r="D120" s="232"/>
      <c r="E120" s="232"/>
      <c r="F120" s="232"/>
      <c r="G120" s="232"/>
      <c r="H120" s="234"/>
    </row>
    <row r="121" spans="2:9" ht="37.5" x14ac:dyDescent="0.25">
      <c r="B121" s="20">
        <f>+B120+0.01</f>
        <v>8.01</v>
      </c>
      <c r="C121" s="127" t="s">
        <v>88</v>
      </c>
      <c r="D121" s="71">
        <f>+ROUND(5*1.4*1.4*1.5,2)</f>
        <v>14.7</v>
      </c>
      <c r="E121" s="71" t="s">
        <v>23</v>
      </c>
      <c r="F121" s="70"/>
      <c r="G121" s="72"/>
      <c r="H121" s="216"/>
      <c r="I121" s="201">
        <f>+H117+H121+H127+H131+H135+H139+H148</f>
        <v>0</v>
      </c>
    </row>
    <row r="122" spans="2:9" ht="37.5" x14ac:dyDescent="0.25">
      <c r="B122" s="25">
        <f>+B121+0.01</f>
        <v>8.02</v>
      </c>
      <c r="C122" s="126" t="s">
        <v>89</v>
      </c>
      <c r="D122" s="85">
        <f>+ROUND(1.2*1.2*4,2)</f>
        <v>5.76</v>
      </c>
      <c r="E122" s="85" t="s">
        <v>23</v>
      </c>
      <c r="F122" s="86"/>
      <c r="G122" s="108"/>
      <c r="H122" s="226"/>
    </row>
    <row r="123" spans="2:9" ht="18.75" x14ac:dyDescent="0.25">
      <c r="B123" s="25">
        <f t="shared" ref="B123:B124" si="14">+B122+0.01</f>
        <v>8.0299999999999994</v>
      </c>
      <c r="C123" s="26" t="s">
        <v>90</v>
      </c>
      <c r="D123" s="85">
        <f>+D122+D121</f>
        <v>20.46</v>
      </c>
      <c r="E123" s="85" t="s">
        <v>23</v>
      </c>
      <c r="F123" s="86"/>
      <c r="G123" s="108"/>
      <c r="H123" s="226"/>
    </row>
    <row r="124" spans="2:9" ht="18.75" x14ac:dyDescent="0.25">
      <c r="B124" s="25">
        <f t="shared" si="14"/>
        <v>8.0399999999999991</v>
      </c>
      <c r="C124" s="26" t="s">
        <v>26</v>
      </c>
      <c r="D124" s="85">
        <f>ROUND(D123*1.2,2)</f>
        <v>24.55</v>
      </c>
      <c r="E124" s="85" t="s">
        <v>23</v>
      </c>
      <c r="F124" s="86"/>
      <c r="G124" s="108"/>
      <c r="H124" s="226"/>
    </row>
    <row r="125" spans="2:9" ht="19.5" thickBot="1" x14ac:dyDescent="0.35">
      <c r="B125" s="29"/>
      <c r="C125" s="37"/>
      <c r="D125" s="7"/>
      <c r="E125" s="7"/>
      <c r="F125" s="7"/>
      <c r="G125" s="7"/>
      <c r="H125" s="217"/>
    </row>
    <row r="126" spans="2:9" ht="19.5" thickBot="1" x14ac:dyDescent="0.3">
      <c r="B126" s="65">
        <v>9</v>
      </c>
      <c r="C126" s="232" t="s">
        <v>91</v>
      </c>
      <c r="D126" s="232"/>
      <c r="E126" s="232"/>
      <c r="F126" s="232"/>
      <c r="G126" s="232"/>
      <c r="H126" s="234"/>
    </row>
    <row r="127" spans="2:9" ht="18.75" x14ac:dyDescent="0.25">
      <c r="B127" s="20">
        <f>+B126+0.01</f>
        <v>9.01</v>
      </c>
      <c r="C127" s="127" t="s">
        <v>92</v>
      </c>
      <c r="D127" s="71">
        <v>180</v>
      </c>
      <c r="E127" s="71" t="s">
        <v>14</v>
      </c>
      <c r="F127" s="70"/>
      <c r="G127" s="72"/>
      <c r="H127" s="216"/>
    </row>
    <row r="128" spans="2:9" ht="18.75" x14ac:dyDescent="0.25">
      <c r="B128" s="25">
        <f>+B127+0.01</f>
        <v>9.02</v>
      </c>
      <c r="C128" s="26" t="s">
        <v>26</v>
      </c>
      <c r="D128" s="85">
        <v>1</v>
      </c>
      <c r="E128" s="85" t="s">
        <v>13</v>
      </c>
      <c r="F128" s="86"/>
      <c r="G128" s="108"/>
      <c r="H128" s="226"/>
    </row>
    <row r="129" spans="2:8" ht="19.5" thickBot="1" x14ac:dyDescent="0.35">
      <c r="B129" s="29"/>
      <c r="C129" s="37"/>
      <c r="D129" s="7"/>
      <c r="E129" s="7"/>
      <c r="F129" s="7"/>
      <c r="G129" s="7"/>
      <c r="H129" s="217"/>
    </row>
    <row r="130" spans="2:8" ht="19.5" customHeight="1" thickBot="1" x14ac:dyDescent="0.3">
      <c r="B130" s="65">
        <v>10</v>
      </c>
      <c r="C130" s="232" t="s">
        <v>93</v>
      </c>
      <c r="D130" s="232"/>
      <c r="E130" s="232"/>
      <c r="F130" s="232"/>
      <c r="G130" s="232"/>
      <c r="H130" s="234"/>
    </row>
    <row r="131" spans="2:8" ht="18.75" x14ac:dyDescent="0.25">
      <c r="B131" s="20">
        <f>+B130+0.01</f>
        <v>10.01</v>
      </c>
      <c r="C131" s="127" t="s">
        <v>92</v>
      </c>
      <c r="D131" s="71">
        <v>10</v>
      </c>
      <c r="E131" s="71" t="s">
        <v>14</v>
      </c>
      <c r="F131" s="70"/>
      <c r="G131" s="72"/>
      <c r="H131" s="216"/>
    </row>
    <row r="132" spans="2:8" ht="18.75" x14ac:dyDescent="0.25">
      <c r="B132" s="25">
        <f>+B131+0.01</f>
        <v>10.02</v>
      </c>
      <c r="C132" s="26" t="s">
        <v>26</v>
      </c>
      <c r="D132" s="85">
        <v>1</v>
      </c>
      <c r="E132" s="85" t="s">
        <v>13</v>
      </c>
      <c r="F132" s="86"/>
      <c r="G132" s="108"/>
      <c r="H132" s="226"/>
    </row>
    <row r="133" spans="2:8" ht="19.5" thickBot="1" x14ac:dyDescent="0.35">
      <c r="B133" s="29"/>
      <c r="C133" s="37"/>
      <c r="D133" s="7"/>
      <c r="E133" s="7"/>
      <c r="F133" s="7"/>
      <c r="G133" s="7"/>
      <c r="H133" s="217"/>
    </row>
    <row r="134" spans="2:8" ht="19.5" customHeight="1" thickBot="1" x14ac:dyDescent="0.3">
      <c r="B134" s="65">
        <v>11</v>
      </c>
      <c r="C134" s="232" t="s">
        <v>94</v>
      </c>
      <c r="D134" s="232"/>
      <c r="E134" s="232"/>
      <c r="F134" s="232"/>
      <c r="G134" s="232"/>
      <c r="H134" s="234"/>
    </row>
    <row r="135" spans="2:8" ht="18.75" x14ac:dyDescent="0.25">
      <c r="B135" s="20">
        <f>+B134+0.01</f>
        <v>11.01</v>
      </c>
      <c r="C135" s="127" t="s">
        <v>95</v>
      </c>
      <c r="D135" s="71">
        <v>122</v>
      </c>
      <c r="E135" s="71" t="s">
        <v>23</v>
      </c>
      <c r="F135" s="70"/>
      <c r="G135" s="72"/>
      <c r="H135" s="216"/>
    </row>
    <row r="136" spans="2:8" ht="37.5" x14ac:dyDescent="0.25">
      <c r="B136" s="25">
        <f>+B135+0.01</f>
        <v>11.02</v>
      </c>
      <c r="C136" s="26" t="s">
        <v>96</v>
      </c>
      <c r="D136" s="85">
        <v>122</v>
      </c>
      <c r="E136" s="85" t="s">
        <v>23</v>
      </c>
      <c r="F136" s="86"/>
      <c r="G136" s="108"/>
      <c r="H136" s="226"/>
    </row>
    <row r="137" spans="2:8" ht="19.5" thickBot="1" x14ac:dyDescent="0.35">
      <c r="B137" s="29"/>
      <c r="C137" s="37"/>
      <c r="D137" s="7"/>
      <c r="E137" s="7"/>
      <c r="F137" s="7"/>
      <c r="G137" s="7"/>
      <c r="H137" s="217"/>
    </row>
    <row r="138" spans="2:8" ht="19.5" thickBot="1" x14ac:dyDescent="0.3">
      <c r="B138" s="65">
        <v>12</v>
      </c>
      <c r="C138" s="232" t="s">
        <v>97</v>
      </c>
      <c r="D138" s="232"/>
      <c r="E138" s="232"/>
      <c r="F138" s="232"/>
      <c r="G138" s="232"/>
      <c r="H138" s="234"/>
    </row>
    <row r="139" spans="2:8" ht="18.75" x14ac:dyDescent="0.25">
      <c r="B139" s="20">
        <f>+B138+0.01</f>
        <v>12.01</v>
      </c>
      <c r="C139" s="21" t="s">
        <v>98</v>
      </c>
      <c r="D139" s="71">
        <v>1</v>
      </c>
      <c r="E139" s="71" t="s">
        <v>99</v>
      </c>
      <c r="F139" s="70"/>
      <c r="G139" s="72"/>
      <c r="H139" s="216"/>
    </row>
    <row r="140" spans="2:8" ht="18.75" x14ac:dyDescent="0.25">
      <c r="B140" s="25">
        <f t="shared" ref="B140:B145" si="15">+B139+0.01</f>
        <v>12.02</v>
      </c>
      <c r="C140" s="26" t="s">
        <v>100</v>
      </c>
      <c r="D140" s="85">
        <f>2.5</f>
        <v>2.5</v>
      </c>
      <c r="E140" s="85" t="s">
        <v>101</v>
      </c>
      <c r="F140" s="86"/>
      <c r="G140" s="108"/>
      <c r="H140" s="226"/>
    </row>
    <row r="141" spans="2:8" ht="37.5" x14ac:dyDescent="0.25">
      <c r="B141" s="25">
        <f t="shared" si="15"/>
        <v>12.03</v>
      </c>
      <c r="C141" s="126" t="s">
        <v>102</v>
      </c>
      <c r="D141" s="85">
        <v>1</v>
      </c>
      <c r="E141" s="85" t="s">
        <v>99</v>
      </c>
      <c r="F141" s="86"/>
      <c r="G141" s="108"/>
      <c r="H141" s="226"/>
    </row>
    <row r="142" spans="2:8" ht="18.75" x14ac:dyDescent="0.25">
      <c r="B142" s="25">
        <f t="shared" si="15"/>
        <v>12.04</v>
      </c>
      <c r="C142" s="126" t="s">
        <v>103</v>
      </c>
      <c r="D142" s="85">
        <v>2</v>
      </c>
      <c r="E142" s="85" t="s">
        <v>99</v>
      </c>
      <c r="F142" s="86"/>
      <c r="G142" s="108"/>
      <c r="H142" s="226"/>
    </row>
    <row r="143" spans="2:8" ht="37.5" x14ac:dyDescent="0.25">
      <c r="B143" s="25">
        <f>+B142+0.01</f>
        <v>12.049999999999999</v>
      </c>
      <c r="C143" s="126" t="s">
        <v>104</v>
      </c>
      <c r="D143" s="85">
        <v>9</v>
      </c>
      <c r="E143" s="85" t="s">
        <v>105</v>
      </c>
      <c r="F143" s="86"/>
      <c r="G143" s="108"/>
      <c r="H143" s="226"/>
    </row>
    <row r="144" spans="2:8" ht="18.75" x14ac:dyDescent="0.25">
      <c r="B144" s="25">
        <f t="shared" si="15"/>
        <v>12.059999999999999</v>
      </c>
      <c r="C144" s="126" t="s">
        <v>106</v>
      </c>
      <c r="D144" s="85">
        <v>7</v>
      </c>
      <c r="E144" s="85" t="s">
        <v>105</v>
      </c>
      <c r="F144" s="86"/>
      <c r="G144" s="108"/>
      <c r="H144" s="226"/>
    </row>
    <row r="145" spans="2:8" ht="56.25" x14ac:dyDescent="0.25">
      <c r="B145" s="25">
        <f t="shared" si="15"/>
        <v>12.069999999999999</v>
      </c>
      <c r="C145" s="126" t="s">
        <v>107</v>
      </c>
      <c r="D145" s="85">
        <v>197</v>
      </c>
      <c r="E145" s="85" t="s">
        <v>23</v>
      </c>
      <c r="F145" s="86"/>
      <c r="G145" s="108"/>
      <c r="H145" s="226"/>
    </row>
    <row r="146" spans="2:8" ht="19.5" thickBot="1" x14ac:dyDescent="0.35">
      <c r="B146" s="29"/>
      <c r="C146" s="37"/>
      <c r="D146" s="7"/>
      <c r="E146" s="7"/>
      <c r="F146" s="7"/>
      <c r="G146" s="7"/>
      <c r="H146" s="217"/>
    </row>
    <row r="147" spans="2:8" ht="19.5" thickBot="1" x14ac:dyDescent="0.3">
      <c r="B147" s="65">
        <v>13</v>
      </c>
      <c r="C147" s="232" t="s">
        <v>7</v>
      </c>
      <c r="D147" s="232"/>
      <c r="E147" s="232"/>
      <c r="F147" s="232"/>
      <c r="G147" s="232"/>
      <c r="H147" s="233"/>
    </row>
    <row r="148" spans="2:8" ht="18.75" x14ac:dyDescent="0.25">
      <c r="B148" s="20">
        <f>+B147+0.01</f>
        <v>13.01</v>
      </c>
      <c r="C148" s="21" t="s">
        <v>12</v>
      </c>
      <c r="D148" s="71">
        <v>1</v>
      </c>
      <c r="E148" s="71" t="s">
        <v>13</v>
      </c>
      <c r="F148" s="70"/>
      <c r="G148" s="72"/>
      <c r="H148" s="216"/>
    </row>
    <row r="149" spans="2:8" ht="19.5" thickBot="1" x14ac:dyDescent="0.35">
      <c r="B149" s="42"/>
      <c r="C149" s="43"/>
      <c r="D149" s="47"/>
      <c r="E149" s="48"/>
      <c r="F149" s="49"/>
      <c r="G149" s="49"/>
      <c r="H149" s="217"/>
    </row>
    <row r="150" spans="2:8" ht="19.5" customHeight="1" thickBot="1" x14ac:dyDescent="0.35">
      <c r="B150" s="89"/>
      <c r="C150" s="227" t="s">
        <v>113</v>
      </c>
      <c r="D150" s="227"/>
      <c r="E150" s="227"/>
      <c r="F150" s="227"/>
      <c r="G150" s="90"/>
      <c r="H150" s="91"/>
    </row>
    <row r="151" spans="2:8" ht="23.25" customHeight="1" thickBot="1" x14ac:dyDescent="0.35">
      <c r="B151" s="29"/>
      <c r="C151" s="228" t="s">
        <v>142</v>
      </c>
      <c r="D151" s="228"/>
      <c r="E151" s="228"/>
      <c r="F151" s="228"/>
      <c r="G151" s="228"/>
      <c r="H151" s="24"/>
    </row>
    <row r="152" spans="2:8" ht="19.5" thickBot="1" x14ac:dyDescent="0.35">
      <c r="B152" s="132">
        <v>14</v>
      </c>
      <c r="C152" s="117" t="s">
        <v>114</v>
      </c>
      <c r="D152" s="125"/>
      <c r="E152" s="125"/>
      <c r="F152" s="125"/>
      <c r="G152" s="125"/>
      <c r="H152" s="133"/>
    </row>
    <row r="153" spans="2:8" ht="19.5" thickBot="1" x14ac:dyDescent="0.3">
      <c r="B153" s="134" t="s">
        <v>16</v>
      </c>
      <c r="C153" s="135" t="s">
        <v>85</v>
      </c>
      <c r="D153" s="136"/>
      <c r="E153" s="136"/>
      <c r="F153" s="136"/>
      <c r="G153" s="136"/>
      <c r="H153" s="137"/>
    </row>
    <row r="154" spans="2:8" ht="18.75" x14ac:dyDescent="0.25">
      <c r="B154" s="20">
        <f>+B152+0.01</f>
        <v>14.01</v>
      </c>
      <c r="C154" s="21" t="s">
        <v>143</v>
      </c>
      <c r="D154" s="71">
        <v>1</v>
      </c>
      <c r="E154" s="71" t="s">
        <v>78</v>
      </c>
      <c r="F154" s="70"/>
      <c r="G154" s="72"/>
      <c r="H154" s="229"/>
    </row>
    <row r="155" spans="2:8" ht="18.75" x14ac:dyDescent="0.25">
      <c r="B155" s="20">
        <f>+B154+0.01</f>
        <v>14.02</v>
      </c>
      <c r="C155" s="127" t="s">
        <v>115</v>
      </c>
      <c r="D155" s="71">
        <f>+ROUND(1*1*1.3,2)</f>
        <v>1.3</v>
      </c>
      <c r="E155" s="71" t="s">
        <v>23</v>
      </c>
      <c r="F155" s="70"/>
      <c r="G155" s="72"/>
      <c r="H155" s="230"/>
    </row>
    <row r="156" spans="2:8" ht="18.75" x14ac:dyDescent="0.25">
      <c r="B156" s="25">
        <f t="shared" ref="B156:B160" si="16">+B155+0.01</f>
        <v>14.03</v>
      </c>
      <c r="C156" s="126" t="s">
        <v>116</v>
      </c>
      <c r="D156" s="85">
        <f>+ROUND(D155*1.2,2)</f>
        <v>1.56</v>
      </c>
      <c r="E156" s="85" t="s">
        <v>23</v>
      </c>
      <c r="F156" s="86"/>
      <c r="G156" s="108"/>
      <c r="H156" s="230"/>
    </row>
    <row r="157" spans="2:8" ht="18.75" x14ac:dyDescent="0.25">
      <c r="B157" s="25">
        <f t="shared" si="16"/>
        <v>14.04</v>
      </c>
      <c r="C157" s="126" t="s">
        <v>117</v>
      </c>
      <c r="D157" s="85">
        <v>1</v>
      </c>
      <c r="E157" s="85" t="s">
        <v>105</v>
      </c>
      <c r="F157" s="86"/>
      <c r="G157" s="108"/>
      <c r="H157" s="230"/>
    </row>
    <row r="158" spans="2:8" ht="18.75" x14ac:dyDescent="0.25">
      <c r="B158" s="25">
        <f t="shared" si="16"/>
        <v>14.049999999999999</v>
      </c>
      <c r="C158" s="126" t="s">
        <v>118</v>
      </c>
      <c r="D158" s="85">
        <v>120</v>
      </c>
      <c r="E158" s="85" t="s">
        <v>14</v>
      </c>
      <c r="F158" s="86"/>
      <c r="G158" s="108"/>
      <c r="H158" s="230"/>
    </row>
    <row r="159" spans="2:8" ht="37.5" x14ac:dyDescent="0.25">
      <c r="B159" s="25">
        <f t="shared" si="16"/>
        <v>14.059999999999999</v>
      </c>
      <c r="C159" s="126" t="s">
        <v>119</v>
      </c>
      <c r="D159" s="85">
        <v>1</v>
      </c>
      <c r="E159" s="85" t="s">
        <v>13</v>
      </c>
      <c r="F159" s="86"/>
      <c r="G159" s="108"/>
      <c r="H159" s="230"/>
    </row>
    <row r="160" spans="2:8" ht="37.5" x14ac:dyDescent="0.25">
      <c r="B160" s="25">
        <f t="shared" si="16"/>
        <v>14.069999999999999</v>
      </c>
      <c r="C160" s="126" t="s">
        <v>120</v>
      </c>
      <c r="D160" s="85">
        <v>2</v>
      </c>
      <c r="E160" s="85" t="s">
        <v>105</v>
      </c>
      <c r="F160" s="86"/>
      <c r="G160" s="108"/>
      <c r="H160" s="230"/>
    </row>
    <row r="161" spans="2:8" ht="19.5" thickBot="1" x14ac:dyDescent="0.35">
      <c r="B161" s="29"/>
      <c r="C161" s="37"/>
      <c r="D161" s="7"/>
      <c r="E161" s="7"/>
      <c r="F161" s="7"/>
      <c r="G161" s="7"/>
      <c r="H161" s="231"/>
    </row>
    <row r="162" spans="2:8" ht="19.5" thickBot="1" x14ac:dyDescent="0.3">
      <c r="B162" s="65" t="s">
        <v>18</v>
      </c>
      <c r="C162" s="184" t="s">
        <v>121</v>
      </c>
      <c r="D162" s="80"/>
      <c r="E162" s="80"/>
      <c r="F162" s="80"/>
      <c r="G162" s="80"/>
      <c r="H162" s="81"/>
    </row>
    <row r="163" spans="2:8" ht="19.5" thickBot="1" x14ac:dyDescent="0.3">
      <c r="B163" s="17"/>
      <c r="C163" s="183" t="s">
        <v>122</v>
      </c>
      <c r="D163" s="18"/>
      <c r="E163" s="18"/>
      <c r="F163" s="18"/>
      <c r="G163" s="18"/>
      <c r="H163" s="19"/>
    </row>
    <row r="164" spans="2:8" ht="37.5" x14ac:dyDescent="0.25">
      <c r="B164" s="20">
        <f>+B160+0.01</f>
        <v>14.079999999999998</v>
      </c>
      <c r="C164" s="21" t="s">
        <v>123</v>
      </c>
      <c r="D164" s="71">
        <f>+ROUND(1.9*1.5*2.2,2)</f>
        <v>6.27</v>
      </c>
      <c r="E164" s="71" t="s">
        <v>23</v>
      </c>
      <c r="F164" s="86"/>
      <c r="G164" s="72"/>
      <c r="H164" s="229"/>
    </row>
    <row r="165" spans="2:8" ht="18.75" x14ac:dyDescent="0.25">
      <c r="B165" s="25">
        <f>+B164+0.01</f>
        <v>14.089999999999998</v>
      </c>
      <c r="C165" s="26" t="s">
        <v>26</v>
      </c>
      <c r="D165" s="85">
        <f>+ROUND((D164)*1.2,2)</f>
        <v>7.52</v>
      </c>
      <c r="E165" s="85" t="s">
        <v>23</v>
      </c>
      <c r="F165" s="86"/>
      <c r="G165" s="108"/>
      <c r="H165" s="230"/>
    </row>
    <row r="166" spans="2:8" ht="56.25" x14ac:dyDescent="0.25">
      <c r="B166" s="25">
        <f t="shared" ref="B166:B170" si="17">+B165+0.01</f>
        <v>14.099999999999998</v>
      </c>
      <c r="C166" s="26" t="s">
        <v>124</v>
      </c>
      <c r="D166" s="85">
        <f>+ROUND(1.9*1.5*0.1,2)</f>
        <v>0.28999999999999998</v>
      </c>
      <c r="E166" s="85" t="s">
        <v>23</v>
      </c>
      <c r="F166" s="86"/>
      <c r="G166" s="108"/>
      <c r="H166" s="230"/>
    </row>
    <row r="167" spans="2:8" ht="37.5" x14ac:dyDescent="0.25">
      <c r="B167" s="25">
        <f t="shared" si="17"/>
        <v>14.109999999999998</v>
      </c>
      <c r="C167" s="26" t="s">
        <v>125</v>
      </c>
      <c r="D167" s="85">
        <v>13.6</v>
      </c>
      <c r="E167" s="85" t="s">
        <v>80</v>
      </c>
      <c r="F167" s="86"/>
      <c r="G167" s="108"/>
      <c r="H167" s="230"/>
    </row>
    <row r="168" spans="2:8" ht="18.75" x14ac:dyDescent="0.25">
      <c r="B168" s="25">
        <f t="shared" si="17"/>
        <v>14.119999999999997</v>
      </c>
      <c r="C168" s="26" t="s">
        <v>126</v>
      </c>
      <c r="D168" s="85">
        <f>+D167</f>
        <v>13.6</v>
      </c>
      <c r="E168" s="85" t="s">
        <v>80</v>
      </c>
      <c r="F168" s="86"/>
      <c r="G168" s="108"/>
      <c r="H168" s="230"/>
    </row>
    <row r="169" spans="2:8" ht="56.25" x14ac:dyDescent="0.25">
      <c r="B169" s="25">
        <f t="shared" si="17"/>
        <v>14.129999999999997</v>
      </c>
      <c r="C169" s="26" t="s">
        <v>127</v>
      </c>
      <c r="D169" s="85">
        <f>+ROUND(1.9*1.5*0.1,2)</f>
        <v>0.28999999999999998</v>
      </c>
      <c r="E169" s="85" t="s">
        <v>23</v>
      </c>
      <c r="F169" s="86"/>
      <c r="G169" s="108"/>
      <c r="H169" s="230"/>
    </row>
    <row r="170" spans="2:8" ht="37.5" x14ac:dyDescent="0.25">
      <c r="B170" s="25">
        <f t="shared" si="17"/>
        <v>14.139999999999997</v>
      </c>
      <c r="C170" s="26" t="s">
        <v>128</v>
      </c>
      <c r="D170" s="85">
        <v>1</v>
      </c>
      <c r="E170" s="85" t="s">
        <v>105</v>
      </c>
      <c r="F170" s="86"/>
      <c r="G170" s="108"/>
      <c r="H170" s="230"/>
    </row>
    <row r="171" spans="2:8" ht="19.5" thickBot="1" x14ac:dyDescent="0.35">
      <c r="B171" s="29"/>
      <c r="C171" s="37"/>
      <c r="D171" s="7"/>
      <c r="E171" s="7"/>
      <c r="F171" s="7"/>
      <c r="G171" s="7"/>
      <c r="H171" s="231"/>
    </row>
    <row r="172" spans="2:8" ht="19.5" thickBot="1" x14ac:dyDescent="0.3">
      <c r="B172" s="17"/>
      <c r="C172" s="183" t="s">
        <v>129</v>
      </c>
      <c r="D172" s="18"/>
      <c r="E172" s="18"/>
      <c r="F172" s="18"/>
      <c r="G172" s="18"/>
      <c r="H172" s="19"/>
    </row>
    <row r="173" spans="2:8" ht="37.5" x14ac:dyDescent="0.25">
      <c r="B173" s="20">
        <f>+B170+0.01</f>
        <v>14.149999999999997</v>
      </c>
      <c r="C173" s="21" t="s">
        <v>130</v>
      </c>
      <c r="D173" s="71">
        <f>+ROUND(2*2.5*2.7,2)</f>
        <v>13.5</v>
      </c>
      <c r="E173" s="71" t="s">
        <v>23</v>
      </c>
      <c r="F173" s="70"/>
      <c r="G173" s="72"/>
      <c r="H173" s="213"/>
    </row>
    <row r="174" spans="2:8" ht="18.75" x14ac:dyDescent="0.25">
      <c r="B174" s="25">
        <f>+B173+0.01</f>
        <v>14.159999999999997</v>
      </c>
      <c r="C174" s="26" t="s">
        <v>26</v>
      </c>
      <c r="D174" s="85">
        <f>+ROUND((D173)*1.2,2)</f>
        <v>16.2</v>
      </c>
      <c r="E174" s="85" t="s">
        <v>23</v>
      </c>
      <c r="F174" s="86"/>
      <c r="G174" s="108"/>
      <c r="H174" s="214"/>
    </row>
    <row r="175" spans="2:8" ht="56.25" x14ac:dyDescent="0.25">
      <c r="B175" s="25">
        <f t="shared" ref="B175:B179" si="18">+B174+0.01</f>
        <v>14.169999999999996</v>
      </c>
      <c r="C175" s="26" t="s">
        <v>131</v>
      </c>
      <c r="D175" s="85">
        <f>+ROUND(2*2.5*0.1,2)</f>
        <v>0.5</v>
      </c>
      <c r="E175" s="85" t="s">
        <v>23</v>
      </c>
      <c r="F175" s="86"/>
      <c r="G175" s="108"/>
      <c r="H175" s="214"/>
    </row>
    <row r="176" spans="2:8" ht="37.5" x14ac:dyDescent="0.25">
      <c r="B176" s="25">
        <f t="shared" si="18"/>
        <v>14.179999999999996</v>
      </c>
      <c r="C176" s="26" t="s">
        <v>132</v>
      </c>
      <c r="D176" s="85">
        <v>22.5</v>
      </c>
      <c r="E176" s="85" t="s">
        <v>80</v>
      </c>
      <c r="F176" s="86"/>
      <c r="G176" s="108"/>
      <c r="H176" s="214"/>
    </row>
    <row r="177" spans="2:8" ht="18.75" x14ac:dyDescent="0.25">
      <c r="B177" s="25">
        <f t="shared" si="18"/>
        <v>14.189999999999996</v>
      </c>
      <c r="C177" s="26" t="s">
        <v>126</v>
      </c>
      <c r="D177" s="85">
        <f>+D176</f>
        <v>22.5</v>
      </c>
      <c r="E177" s="85" t="s">
        <v>80</v>
      </c>
      <c r="F177" s="86"/>
      <c r="G177" s="108"/>
      <c r="H177" s="214"/>
    </row>
    <row r="178" spans="2:8" ht="56.25" x14ac:dyDescent="0.25">
      <c r="B178" s="25">
        <f t="shared" si="18"/>
        <v>14.199999999999996</v>
      </c>
      <c r="C178" s="26" t="s">
        <v>133</v>
      </c>
      <c r="D178" s="85">
        <f>+ROUND(2*2.5*0.1,2)</f>
        <v>0.5</v>
      </c>
      <c r="E178" s="85" t="s">
        <v>23</v>
      </c>
      <c r="F178" s="86"/>
      <c r="G178" s="189"/>
      <c r="H178" s="214"/>
    </row>
    <row r="179" spans="2:8" ht="38.25" thickBot="1" x14ac:dyDescent="0.3">
      <c r="B179" s="25">
        <f t="shared" si="18"/>
        <v>14.209999999999996</v>
      </c>
      <c r="C179" s="26" t="s">
        <v>134</v>
      </c>
      <c r="D179" s="85">
        <v>1</v>
      </c>
      <c r="E179" s="85" t="s">
        <v>105</v>
      </c>
      <c r="F179" s="86"/>
      <c r="G179" s="108"/>
      <c r="H179" s="215"/>
    </row>
    <row r="180" spans="2:8" ht="19.5" thickBot="1" x14ac:dyDescent="0.35">
      <c r="B180" s="29"/>
      <c r="C180" s="37"/>
      <c r="D180" s="7"/>
      <c r="E180" s="7"/>
      <c r="F180" s="7"/>
      <c r="G180" s="7"/>
      <c r="H180" s="193"/>
    </row>
    <row r="181" spans="2:8" ht="19.5" thickBot="1" x14ac:dyDescent="0.35">
      <c r="B181" s="65">
        <v>15</v>
      </c>
      <c r="C181" s="66" t="s">
        <v>135</v>
      </c>
      <c r="D181" s="138"/>
      <c r="E181" s="138"/>
      <c r="F181" s="138"/>
      <c r="G181" s="138"/>
      <c r="H181" s="193"/>
    </row>
    <row r="182" spans="2:8" ht="19.5" thickBot="1" x14ac:dyDescent="0.35">
      <c r="B182" s="139" t="s">
        <v>16</v>
      </c>
      <c r="C182" s="140" t="s">
        <v>85</v>
      </c>
      <c r="D182" s="141"/>
      <c r="E182" s="141"/>
      <c r="F182" s="141"/>
      <c r="G182" s="141"/>
      <c r="H182" s="193"/>
    </row>
    <row r="183" spans="2:8" ht="18.75" x14ac:dyDescent="0.3">
      <c r="B183" s="25">
        <f>+B181+0.01</f>
        <v>15.01</v>
      </c>
      <c r="C183" s="26" t="s">
        <v>136</v>
      </c>
      <c r="D183" s="85">
        <f>+ROUND(1*1*1.5,2)</f>
        <v>1.5</v>
      </c>
      <c r="E183" s="85" t="s">
        <v>23</v>
      </c>
      <c r="F183" s="86"/>
      <c r="G183" s="108"/>
      <c r="H183" s="193"/>
    </row>
    <row r="184" spans="2:8" ht="18.75" x14ac:dyDescent="0.3">
      <c r="B184" s="25">
        <f t="shared" ref="B184:B186" si="19">+B183+0.01</f>
        <v>15.02</v>
      </c>
      <c r="C184" s="26" t="s">
        <v>116</v>
      </c>
      <c r="D184" s="85">
        <f>+ROUND(D183*1.2,2)</f>
        <v>1.8</v>
      </c>
      <c r="E184" s="85" t="s">
        <v>23</v>
      </c>
      <c r="F184" s="86"/>
      <c r="G184" s="108"/>
      <c r="H184" s="193"/>
    </row>
    <row r="185" spans="2:8" ht="18.75" x14ac:dyDescent="0.3">
      <c r="B185" s="25">
        <f t="shared" si="19"/>
        <v>15.03</v>
      </c>
      <c r="C185" s="26" t="s">
        <v>117</v>
      </c>
      <c r="D185" s="85">
        <v>2</v>
      </c>
      <c r="E185" s="85" t="s">
        <v>105</v>
      </c>
      <c r="F185" s="86"/>
      <c r="G185" s="108"/>
      <c r="H185" s="193"/>
    </row>
    <row r="186" spans="2:8" ht="18.75" x14ac:dyDescent="0.3">
      <c r="B186" s="25">
        <f t="shared" si="19"/>
        <v>15.04</v>
      </c>
      <c r="C186" s="26" t="s">
        <v>118</v>
      </c>
      <c r="D186" s="85">
        <v>45</v>
      </c>
      <c r="E186" s="85" t="s">
        <v>14</v>
      </c>
      <c r="F186" s="86"/>
      <c r="G186" s="108"/>
      <c r="H186" s="193"/>
    </row>
    <row r="187" spans="2:8" ht="19.5" thickBot="1" x14ac:dyDescent="0.35">
      <c r="B187" s="29"/>
      <c r="C187" s="37"/>
      <c r="D187" s="7"/>
      <c r="E187" s="7"/>
      <c r="F187" s="7"/>
      <c r="G187" s="7"/>
      <c r="H187" s="194"/>
    </row>
    <row r="188" spans="2:8" ht="19.5" thickBot="1" x14ac:dyDescent="0.35">
      <c r="B188" s="65">
        <v>16</v>
      </c>
      <c r="C188" s="66" t="s">
        <v>144</v>
      </c>
      <c r="D188" s="138"/>
      <c r="E188" s="138"/>
      <c r="F188" s="138"/>
      <c r="G188" s="138"/>
      <c r="H188" s="69"/>
    </row>
    <row r="189" spans="2:8" ht="18.75" x14ac:dyDescent="0.25">
      <c r="B189" s="25">
        <f>+B188+0.01</f>
        <v>16.010000000000002</v>
      </c>
      <c r="C189" s="126" t="s">
        <v>137</v>
      </c>
      <c r="D189" s="85">
        <f>+ROUND(1*1*1.8,2)</f>
        <v>1.8</v>
      </c>
      <c r="E189" s="85" t="s">
        <v>23</v>
      </c>
      <c r="F189" s="86"/>
      <c r="G189" s="108"/>
      <c r="H189" s="226"/>
    </row>
    <row r="190" spans="2:8" ht="18.75" x14ac:dyDescent="0.25">
      <c r="B190" s="25">
        <f t="shared" ref="B190:B193" si="20">+B189+0.01</f>
        <v>16.020000000000003</v>
      </c>
      <c r="C190" s="126" t="s">
        <v>116</v>
      </c>
      <c r="D190" s="85">
        <f>+ROUND(D189*1.2,2)</f>
        <v>2.16</v>
      </c>
      <c r="E190" s="85" t="s">
        <v>23</v>
      </c>
      <c r="F190" s="86"/>
      <c r="G190" s="108"/>
      <c r="H190" s="226"/>
    </row>
    <row r="191" spans="2:8" ht="18.75" x14ac:dyDescent="0.25">
      <c r="B191" s="25">
        <f t="shared" si="20"/>
        <v>16.030000000000005</v>
      </c>
      <c r="C191" s="126" t="s">
        <v>117</v>
      </c>
      <c r="D191" s="85">
        <v>9</v>
      </c>
      <c r="E191" s="85" t="s">
        <v>105</v>
      </c>
      <c r="F191" s="86"/>
      <c r="G191" s="108"/>
      <c r="H191" s="226"/>
    </row>
    <row r="192" spans="2:8" ht="18.75" x14ac:dyDescent="0.25">
      <c r="B192" s="25">
        <f t="shared" si="20"/>
        <v>16.040000000000006</v>
      </c>
      <c r="C192" s="126" t="s">
        <v>118</v>
      </c>
      <c r="D192" s="85">
        <v>49</v>
      </c>
      <c r="E192" s="85" t="s">
        <v>14</v>
      </c>
      <c r="F192" s="86"/>
      <c r="G192" s="108"/>
      <c r="H192" s="226"/>
    </row>
    <row r="193" spans="2:10" ht="37.5" x14ac:dyDescent="0.25">
      <c r="B193" s="25">
        <f t="shared" si="20"/>
        <v>16.050000000000008</v>
      </c>
      <c r="C193" s="126" t="s">
        <v>120</v>
      </c>
      <c r="D193" s="85">
        <v>5</v>
      </c>
      <c r="E193" s="85" t="s">
        <v>105</v>
      </c>
      <c r="F193" s="86"/>
      <c r="G193" s="108"/>
      <c r="H193" s="226"/>
    </row>
    <row r="194" spans="2:10" ht="19.5" thickBot="1" x14ac:dyDescent="0.35">
      <c r="B194" s="29"/>
      <c r="C194" s="37"/>
      <c r="D194" s="7"/>
      <c r="E194" s="7"/>
      <c r="F194" s="7"/>
      <c r="G194" s="7"/>
      <c r="H194" s="217"/>
    </row>
    <row r="195" spans="2:10" ht="19.5" thickBot="1" x14ac:dyDescent="0.3">
      <c r="B195" s="65">
        <v>17</v>
      </c>
      <c r="C195" s="184" t="s">
        <v>138</v>
      </c>
      <c r="D195" s="80"/>
      <c r="E195" s="80"/>
      <c r="F195" s="80"/>
      <c r="G195" s="80"/>
      <c r="H195" s="81"/>
    </row>
    <row r="196" spans="2:10" ht="18.75" x14ac:dyDescent="0.25">
      <c r="B196" s="20">
        <f>+B195+0.01</f>
        <v>17.010000000000002</v>
      </c>
      <c r="C196" s="127" t="s">
        <v>139</v>
      </c>
      <c r="D196" s="71">
        <f>57*0.5*0.4</f>
        <v>11.4</v>
      </c>
      <c r="E196" s="71" t="s">
        <v>23</v>
      </c>
      <c r="F196" s="70"/>
      <c r="G196" s="72"/>
      <c r="H196" s="190"/>
    </row>
    <row r="197" spans="2:10" ht="18.75" x14ac:dyDescent="0.25">
      <c r="B197" s="25">
        <f t="shared" ref="B197:B199" si="21">+B196+0.01</f>
        <v>17.020000000000003</v>
      </c>
      <c r="C197" s="126" t="s">
        <v>116</v>
      </c>
      <c r="D197" s="85">
        <f>+ROUND(D196*1.2,2)</f>
        <v>13.68</v>
      </c>
      <c r="E197" s="85" t="s">
        <v>23</v>
      </c>
      <c r="F197" s="86"/>
      <c r="G197" s="108"/>
      <c r="H197" s="191"/>
    </row>
    <row r="198" spans="2:10" ht="18.75" x14ac:dyDescent="0.25">
      <c r="B198" s="25">
        <f t="shared" si="21"/>
        <v>17.030000000000005</v>
      </c>
      <c r="C198" s="126" t="s">
        <v>117</v>
      </c>
      <c r="D198" s="85">
        <v>8</v>
      </c>
      <c r="E198" s="85" t="s">
        <v>105</v>
      </c>
      <c r="F198" s="86"/>
      <c r="G198" s="108"/>
      <c r="H198" s="191"/>
      <c r="J198" s="201">
        <f>+H202+H200+H189+H187+H179+H164+H154</f>
        <v>0</v>
      </c>
    </row>
    <row r="199" spans="2:10" ht="37.5" x14ac:dyDescent="0.25">
      <c r="B199" s="25">
        <f t="shared" si="21"/>
        <v>17.040000000000006</v>
      </c>
      <c r="C199" s="126" t="s">
        <v>120</v>
      </c>
      <c r="D199" s="85">
        <v>2</v>
      </c>
      <c r="E199" s="85" t="s">
        <v>105</v>
      </c>
      <c r="F199" s="86"/>
      <c r="G199" s="108"/>
      <c r="H199" s="191"/>
    </row>
    <row r="200" spans="2:10" ht="19.5" thickBot="1" x14ac:dyDescent="0.35">
      <c r="B200" s="29"/>
      <c r="C200" s="37"/>
      <c r="D200" s="7"/>
      <c r="E200" s="7"/>
      <c r="F200" s="7"/>
      <c r="G200" s="7"/>
      <c r="H200" s="192"/>
    </row>
    <row r="201" spans="2:10" ht="19.5" thickBot="1" x14ac:dyDescent="0.35">
      <c r="B201" s="65">
        <v>18</v>
      </c>
      <c r="C201" s="66" t="s">
        <v>140</v>
      </c>
      <c r="D201" s="138"/>
      <c r="E201" s="138"/>
      <c r="F201" s="138"/>
      <c r="G201" s="138"/>
      <c r="H201" s="69"/>
    </row>
    <row r="202" spans="2:10" ht="18.75" x14ac:dyDescent="0.25">
      <c r="B202" s="92">
        <f>+B201+0.01</f>
        <v>18.010000000000002</v>
      </c>
      <c r="C202" s="93" t="s">
        <v>141</v>
      </c>
      <c r="D202" s="101">
        <v>1</v>
      </c>
      <c r="E202" s="101" t="s">
        <v>13</v>
      </c>
      <c r="F202" s="102"/>
      <c r="G202" s="179"/>
      <c r="H202" s="216"/>
    </row>
    <row r="203" spans="2:10" ht="19.5" thickBot="1" x14ac:dyDescent="0.35">
      <c r="B203" s="98"/>
      <c r="C203" s="79"/>
      <c r="D203" s="99"/>
      <c r="E203" s="99"/>
      <c r="F203" s="99"/>
      <c r="G203" s="100"/>
      <c r="H203" s="217"/>
    </row>
    <row r="204" spans="2:10" ht="18.75" x14ac:dyDescent="0.3">
      <c r="B204" s="29"/>
      <c r="C204" s="37"/>
      <c r="D204" s="7"/>
      <c r="E204" s="7"/>
      <c r="F204" s="7"/>
      <c r="G204" s="7"/>
      <c r="H204" s="178"/>
    </row>
    <row r="205" spans="2:10" ht="18.75" x14ac:dyDescent="0.25">
      <c r="B205" s="218" t="s">
        <v>31</v>
      </c>
      <c r="C205" s="219"/>
      <c r="D205" s="219"/>
      <c r="E205" s="219"/>
      <c r="F205" s="219"/>
      <c r="G205" s="220"/>
      <c r="H205" s="51"/>
      <c r="I205" s="5">
        <v>890000</v>
      </c>
    </row>
    <row r="206" spans="2:10" ht="14.25" customHeight="1" thickBot="1" x14ac:dyDescent="0.3">
      <c r="B206" s="52"/>
      <c r="C206" s="53"/>
      <c r="D206" s="53"/>
      <c r="E206" s="53"/>
      <c r="F206" s="53"/>
      <c r="G206" s="53"/>
      <c r="H206" s="50"/>
    </row>
    <row r="207" spans="2:10" ht="19.5" thickBot="1" x14ac:dyDescent="0.3">
      <c r="B207" s="54"/>
      <c r="C207" s="55" t="s">
        <v>8</v>
      </c>
      <c r="D207" s="56"/>
      <c r="E207" s="57"/>
      <c r="F207" s="58"/>
      <c r="G207" s="59"/>
      <c r="H207" s="180"/>
    </row>
    <row r="208" spans="2:10" ht="19.5" thickBot="1" x14ac:dyDescent="0.3">
      <c r="B208" s="142">
        <v>1</v>
      </c>
      <c r="C208" s="143" t="s">
        <v>145</v>
      </c>
      <c r="D208" s="144"/>
      <c r="E208" s="145">
        <v>0.1</v>
      </c>
      <c r="F208" s="146"/>
      <c r="G208" s="147">
        <f>ROUND($H$205*E208,2)</f>
        <v>0</v>
      </c>
      <c r="H208" s="148"/>
    </row>
    <row r="209" spans="2:8" ht="19.5" thickBot="1" x14ac:dyDescent="0.35">
      <c r="B209" s="142">
        <v>2</v>
      </c>
      <c r="C209" s="149" t="s">
        <v>146</v>
      </c>
      <c r="D209" s="150"/>
      <c r="E209" s="151">
        <v>0.03</v>
      </c>
      <c r="F209" s="152"/>
      <c r="G209" s="147">
        <f t="shared" ref="G209:G214" si="22">ROUND($H$205*E209,2)</f>
        <v>0</v>
      </c>
      <c r="H209" s="153"/>
    </row>
    <row r="210" spans="2:8" ht="19.5" thickBot="1" x14ac:dyDescent="0.35">
      <c r="B210" s="154">
        <v>3</v>
      </c>
      <c r="C210" s="149" t="s">
        <v>147</v>
      </c>
      <c r="D210" s="150"/>
      <c r="E210" s="151">
        <v>2.5000000000000001E-2</v>
      </c>
      <c r="F210" s="152"/>
      <c r="G210" s="147">
        <f t="shared" si="22"/>
        <v>0</v>
      </c>
      <c r="H210" s="153"/>
    </row>
    <row r="211" spans="2:8" ht="19.5" thickBot="1" x14ac:dyDescent="0.35">
      <c r="B211" s="154">
        <v>4</v>
      </c>
      <c r="C211" s="149" t="s">
        <v>148</v>
      </c>
      <c r="D211" s="150"/>
      <c r="E211" s="151">
        <v>0.05</v>
      </c>
      <c r="F211" s="152"/>
      <c r="G211" s="147">
        <f t="shared" si="22"/>
        <v>0</v>
      </c>
      <c r="H211" s="153"/>
    </row>
    <row r="212" spans="2:8" ht="19.5" thickBot="1" x14ac:dyDescent="0.35">
      <c r="B212" s="154">
        <v>5</v>
      </c>
      <c r="C212" s="149" t="s">
        <v>149</v>
      </c>
      <c r="D212" s="150"/>
      <c r="E212" s="151">
        <v>0.05</v>
      </c>
      <c r="F212" s="152"/>
      <c r="G212" s="147">
        <f t="shared" si="22"/>
        <v>0</v>
      </c>
      <c r="H212" s="153"/>
    </row>
    <row r="213" spans="2:8" ht="19.5" thickBot="1" x14ac:dyDescent="0.35">
      <c r="B213" s="154">
        <v>6</v>
      </c>
      <c r="C213" s="149" t="s">
        <v>150</v>
      </c>
      <c r="D213" s="150"/>
      <c r="E213" s="151">
        <v>0.04</v>
      </c>
      <c r="F213" s="152"/>
      <c r="G213" s="147">
        <f t="shared" si="22"/>
        <v>0</v>
      </c>
      <c r="H213" s="153"/>
    </row>
    <row r="214" spans="2:8" ht="38.25" thickBot="1" x14ac:dyDescent="0.35">
      <c r="B214" s="154">
        <v>7</v>
      </c>
      <c r="C214" s="155" t="s">
        <v>151</v>
      </c>
      <c r="D214" s="150"/>
      <c r="E214" s="151">
        <v>0.01</v>
      </c>
      <c r="F214" s="152"/>
      <c r="G214" s="147">
        <f t="shared" si="22"/>
        <v>0</v>
      </c>
      <c r="H214" s="153"/>
    </row>
    <row r="215" spans="2:8" ht="19.5" thickBot="1" x14ac:dyDescent="0.35">
      <c r="B215" s="154">
        <v>8</v>
      </c>
      <c r="C215" s="149" t="s">
        <v>152</v>
      </c>
      <c r="D215" s="150"/>
      <c r="E215" s="151">
        <v>1E-3</v>
      </c>
      <c r="F215" s="152"/>
      <c r="G215" s="147">
        <f>ROUND($H$205*E215,2)</f>
        <v>0</v>
      </c>
      <c r="H215" s="153"/>
    </row>
    <row r="216" spans="2:8" ht="19.5" thickBot="1" x14ac:dyDescent="0.35">
      <c r="B216" s="154">
        <v>9</v>
      </c>
      <c r="C216" s="149" t="s">
        <v>153</v>
      </c>
      <c r="D216" s="150"/>
      <c r="E216" s="151">
        <v>0.18</v>
      </c>
      <c r="F216" s="152"/>
      <c r="G216" s="147">
        <f>ROUND($H$205*E216*0.1,2)</f>
        <v>0</v>
      </c>
      <c r="H216" s="153"/>
    </row>
    <row r="217" spans="2:8" ht="19.5" thickBot="1" x14ac:dyDescent="0.3">
      <c r="B217" s="174"/>
      <c r="C217" s="175"/>
      <c r="D217" s="176"/>
      <c r="E217" s="175"/>
      <c r="F217" s="175"/>
      <c r="G217" s="177"/>
      <c r="H217" s="181"/>
    </row>
    <row r="218" spans="2:8" ht="19.5" thickBot="1" x14ac:dyDescent="0.35">
      <c r="B218" s="221" t="s">
        <v>9</v>
      </c>
      <c r="C218" s="222"/>
      <c r="D218" s="222"/>
      <c r="E218" s="222"/>
      <c r="F218" s="222"/>
      <c r="G218" s="222"/>
      <c r="H218" s="182"/>
    </row>
    <row r="219" spans="2:8" ht="19.5" thickBot="1" x14ac:dyDescent="0.35">
      <c r="B219" s="42"/>
      <c r="C219" s="43"/>
      <c r="D219" s="61"/>
      <c r="E219" s="60"/>
      <c r="F219" s="62"/>
      <c r="G219" s="60"/>
      <c r="H219" s="50"/>
    </row>
    <row r="220" spans="2:8" ht="19.5" thickBot="1" x14ac:dyDescent="0.3">
      <c r="B220" s="223" t="s">
        <v>10</v>
      </c>
      <c r="C220" s="224"/>
      <c r="D220" s="224"/>
      <c r="E220" s="224"/>
      <c r="F220" s="224"/>
      <c r="G220" s="225"/>
      <c r="H220" s="63"/>
    </row>
    <row r="221" spans="2:8" ht="18.75" x14ac:dyDescent="0.3">
      <c r="B221" s="196"/>
      <c r="C221" s="197"/>
      <c r="D221" s="198"/>
      <c r="E221" s="198"/>
      <c r="F221" s="198"/>
      <c r="G221" s="198"/>
      <c r="H221" s="199"/>
    </row>
    <row r="222" spans="2:8" ht="2.25" customHeight="1" x14ac:dyDescent="0.25">
      <c r="B222" s="200"/>
      <c r="C222" s="156"/>
      <c r="D222" s="157"/>
      <c r="E222" s="158"/>
      <c r="F222" s="159"/>
      <c r="G222" s="159"/>
      <c r="H222" s="160" t="s">
        <v>154</v>
      </c>
    </row>
    <row r="223" spans="2:8" ht="18.75" x14ac:dyDescent="0.25">
      <c r="B223" s="161"/>
      <c r="C223" s="162" t="s">
        <v>155</v>
      </c>
      <c r="D223" s="163"/>
      <c r="E223" s="164"/>
      <c r="F223" s="204" t="s">
        <v>156</v>
      </c>
      <c r="G223" s="205"/>
      <c r="H223" s="206"/>
    </row>
    <row r="224" spans="2:8" ht="18.75" x14ac:dyDescent="0.25">
      <c r="B224" s="165"/>
      <c r="C224" s="162"/>
      <c r="D224" s="163"/>
      <c r="E224" s="164"/>
      <c r="F224" s="164"/>
      <c r="G224" s="164"/>
      <c r="H224" s="166"/>
    </row>
    <row r="225" spans="2:8" ht="2.25" customHeight="1" x14ac:dyDescent="0.25">
      <c r="B225" s="165"/>
      <c r="C225" s="167"/>
      <c r="D225" s="163"/>
      <c r="E225" s="164"/>
      <c r="F225" s="168"/>
      <c r="G225" s="168"/>
      <c r="H225" s="169"/>
    </row>
    <row r="226" spans="2:8" ht="18.75" x14ac:dyDescent="0.25">
      <c r="B226" s="165"/>
      <c r="C226" s="170" t="s">
        <v>157</v>
      </c>
      <c r="D226" s="171"/>
      <c r="E226" s="207" t="s">
        <v>162</v>
      </c>
      <c r="F226" s="208"/>
      <c r="G226" s="208"/>
      <c r="H226" s="209"/>
    </row>
    <row r="227" spans="2:8" ht="18.75" x14ac:dyDescent="0.25">
      <c r="B227" s="165"/>
      <c r="C227" s="162" t="s">
        <v>158</v>
      </c>
      <c r="D227" s="163" t="s">
        <v>159</v>
      </c>
      <c r="E227" s="204" t="s">
        <v>163</v>
      </c>
      <c r="F227" s="205"/>
      <c r="G227" s="205"/>
      <c r="H227" s="206"/>
    </row>
    <row r="228" spans="2:8" ht="10.5" customHeight="1" x14ac:dyDescent="0.25">
      <c r="B228" s="165"/>
      <c r="C228" s="167"/>
      <c r="D228" s="163"/>
      <c r="E228" s="164"/>
      <c r="F228" s="168"/>
      <c r="G228" s="168"/>
      <c r="H228" s="169"/>
    </row>
    <row r="229" spans="2:8" ht="18.75" x14ac:dyDescent="0.25">
      <c r="B229" s="165"/>
      <c r="C229" s="204" t="s">
        <v>11</v>
      </c>
      <c r="D229" s="205"/>
      <c r="E229" s="205"/>
      <c r="F229" s="205"/>
      <c r="G229" s="205"/>
      <c r="H229" s="206"/>
    </row>
    <row r="230" spans="2:8" ht="18.75" x14ac:dyDescent="0.25">
      <c r="B230" s="165"/>
      <c r="C230" s="167"/>
      <c r="D230" s="163"/>
      <c r="E230" s="164"/>
      <c r="F230" s="168"/>
      <c r="G230" s="168"/>
      <c r="H230" s="169"/>
    </row>
    <row r="231" spans="2:8" ht="1.5" customHeight="1" x14ac:dyDescent="0.25">
      <c r="B231" s="165"/>
      <c r="C231" s="167"/>
      <c r="D231" s="163"/>
      <c r="E231" s="164"/>
      <c r="F231" s="168"/>
      <c r="G231" s="168"/>
      <c r="H231" s="169"/>
    </row>
    <row r="232" spans="2:8" ht="18.75" x14ac:dyDescent="0.25">
      <c r="B232" s="165"/>
      <c r="C232" s="207" t="s">
        <v>160</v>
      </c>
      <c r="D232" s="208"/>
      <c r="E232" s="208"/>
      <c r="F232" s="208"/>
      <c r="G232" s="208"/>
      <c r="H232" s="209"/>
    </row>
    <row r="233" spans="2:8" ht="19.5" thickBot="1" x14ac:dyDescent="0.3">
      <c r="B233" s="172"/>
      <c r="C233" s="210" t="s">
        <v>161</v>
      </c>
      <c r="D233" s="211"/>
      <c r="E233" s="211"/>
      <c r="F233" s="211"/>
      <c r="G233" s="211"/>
      <c r="H233" s="212"/>
    </row>
    <row r="234" spans="2:8" ht="21" thickBot="1" x14ac:dyDescent="0.35">
      <c r="B234" s="195"/>
      <c r="C234" s="10"/>
      <c r="D234" s="6"/>
      <c r="E234" s="6"/>
      <c r="F234" s="6"/>
      <c r="G234" s="6"/>
      <c r="H234" s="173"/>
    </row>
  </sheetData>
  <mergeCells count="60">
    <mergeCell ref="B5:C5"/>
    <mergeCell ref="D5:H5"/>
    <mergeCell ref="B2:H2"/>
    <mergeCell ref="B3:C3"/>
    <mergeCell ref="D3:H3"/>
    <mergeCell ref="B4:C4"/>
    <mergeCell ref="D4:H4"/>
    <mergeCell ref="C70:F70"/>
    <mergeCell ref="B6:C6"/>
    <mergeCell ref="D6:H6"/>
    <mergeCell ref="B7:C7"/>
    <mergeCell ref="D7:H7"/>
    <mergeCell ref="B8:C8"/>
    <mergeCell ref="D8:F8"/>
    <mergeCell ref="C38:H38"/>
    <mergeCell ref="C46:G46"/>
    <mergeCell ref="C52:H52"/>
    <mergeCell ref="C58:F58"/>
    <mergeCell ref="C64:F64"/>
    <mergeCell ref="C116:H116"/>
    <mergeCell ref="C76:F76"/>
    <mergeCell ref="C82:F82"/>
    <mergeCell ref="C88:H88"/>
    <mergeCell ref="C94:H94"/>
    <mergeCell ref="H95:H99"/>
    <mergeCell ref="H101:H102"/>
    <mergeCell ref="C104:F104"/>
    <mergeCell ref="C105:F105"/>
    <mergeCell ref="H106:H109"/>
    <mergeCell ref="H111:H112"/>
    <mergeCell ref="C114:F114"/>
    <mergeCell ref="C147:H147"/>
    <mergeCell ref="H117:H119"/>
    <mergeCell ref="C120:H120"/>
    <mergeCell ref="H121:H125"/>
    <mergeCell ref="C126:H126"/>
    <mergeCell ref="H127:H129"/>
    <mergeCell ref="C130:H130"/>
    <mergeCell ref="H131:H133"/>
    <mergeCell ref="C134:H134"/>
    <mergeCell ref="H135:H137"/>
    <mergeCell ref="C138:H138"/>
    <mergeCell ref="H139:H146"/>
    <mergeCell ref="H148:H149"/>
    <mergeCell ref="C150:F150"/>
    <mergeCell ref="C151:G151"/>
    <mergeCell ref="H154:H161"/>
    <mergeCell ref="H164:H171"/>
    <mergeCell ref="E227:H227"/>
    <mergeCell ref="C229:H229"/>
    <mergeCell ref="C232:H232"/>
    <mergeCell ref="C233:H233"/>
    <mergeCell ref="H173:H179"/>
    <mergeCell ref="H202:H203"/>
    <mergeCell ref="B205:G205"/>
    <mergeCell ref="B218:G218"/>
    <mergeCell ref="B220:G220"/>
    <mergeCell ref="F223:H223"/>
    <mergeCell ref="E226:H226"/>
    <mergeCell ref="H189:H194"/>
  </mergeCells>
  <pageMargins left="0.7" right="0.7" top="0.75" bottom="0.75" header="0.3" footer="0.3"/>
  <pageSetup scale="70" fitToHeight="0" orientation="portrait" horizontalDpi="300" verticalDpi="300" r:id="rId1"/>
  <rowBreaks count="2" manualBreakCount="2">
    <brk id="38" min="1" max="7" man="1"/>
    <brk id="8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28 06 2022</vt:lpstr>
      <vt:lpstr>'28 06 2022'!Área_de_impresión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Evelin Peña</cp:lastModifiedBy>
  <cp:lastPrinted>2022-06-28T16:16:33Z</cp:lastPrinted>
  <dcterms:created xsi:type="dcterms:W3CDTF">2017-12-28T17:07:55Z</dcterms:created>
  <dcterms:modified xsi:type="dcterms:W3CDTF">2022-07-13T16:19:11Z</dcterms:modified>
</cp:coreProperties>
</file>