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lin\Desktop\OAIM\"/>
    </mc:Choice>
  </mc:AlternateContent>
  <bookViews>
    <workbookView xWindow="0" yWindow="0" windowWidth="20490" windowHeight="7755"/>
  </bookViews>
  <sheets>
    <sheet name="ACT. 04 05 2022 " sheetId="1" r:id="rId1"/>
  </sheets>
  <externalReferences>
    <externalReference r:id="rId2"/>
  </externalReferences>
  <definedNames>
    <definedName name="_xlnm._FilterDatabase" localSheetId="0" hidden="1">'ACT. 04 05 2022 '!$B$15:$H$162</definedName>
    <definedName name="_xlnm.Print_Area" localSheetId="0">'ACT. 04 05 2022 '!$B$1:$H$187</definedName>
    <definedName name="_xlnm.Print_Titles" localSheetId="0">'ACT. 04 05 2022 '!$15:$15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6" i="1" l="1"/>
  <c r="D17" i="1"/>
  <c r="D18" i="1"/>
  <c r="D19" i="1"/>
  <c r="D21" i="1"/>
  <c r="D22" i="1"/>
  <c r="D23" i="1"/>
  <c r="D24" i="1"/>
  <c r="D29" i="1"/>
  <c r="D47" i="1"/>
  <c r="D48" i="1"/>
  <c r="D50" i="1"/>
  <c r="D59" i="1"/>
  <c r="D60" i="1"/>
  <c r="D62" i="1"/>
  <c r="D64" i="1"/>
  <c r="D65" i="1"/>
  <c r="D66" i="1"/>
  <c r="D67" i="1"/>
  <c r="D70" i="1"/>
  <c r="D71" i="1"/>
  <c r="D72" i="1"/>
  <c r="D73" i="1"/>
  <c r="D74" i="1"/>
  <c r="D77" i="1"/>
  <c r="D114" i="1"/>
  <c r="D124" i="1"/>
  <c r="D126" i="1"/>
  <c r="D129" i="1"/>
  <c r="D130" i="1"/>
  <c r="D131" i="1"/>
  <c r="D132" i="1"/>
  <c r="D133" i="1"/>
  <c r="D134" i="1"/>
  <c r="D135" i="1"/>
  <c r="D136" i="1"/>
  <c r="D137" i="1"/>
  <c r="D138" i="1"/>
  <c r="D139" i="1"/>
  <c r="D145" i="1"/>
  <c r="D146" i="1"/>
  <c r="D147" i="1"/>
  <c r="D148" i="1"/>
  <c r="D149" i="1"/>
  <c r="D150" i="1"/>
  <c r="D151" i="1"/>
  <c r="H164" i="1"/>
  <c r="G167" i="1"/>
  <c r="G168" i="1"/>
  <c r="G169" i="1"/>
  <c r="G170" i="1"/>
  <c r="G171" i="1"/>
  <c r="G172" i="1"/>
  <c r="G173" i="1"/>
  <c r="G174" i="1"/>
  <c r="G175" i="1"/>
  <c r="B167" i="1"/>
  <c r="B168" i="1"/>
  <c r="B169" i="1"/>
  <c r="B170" i="1"/>
  <c r="B171" i="1"/>
  <c r="B172" i="1"/>
  <c r="B173" i="1"/>
  <c r="B174" i="1"/>
  <c r="B175" i="1"/>
  <c r="B161" i="1"/>
  <c r="B154" i="1"/>
  <c r="B155" i="1"/>
  <c r="B156" i="1"/>
  <c r="B157" i="1"/>
  <c r="B158" i="1"/>
  <c r="K156" i="1"/>
  <c r="B144" i="1"/>
  <c r="B145" i="1"/>
  <c r="B146" i="1"/>
  <c r="B147" i="1"/>
  <c r="B148" i="1"/>
  <c r="B149" i="1"/>
  <c r="B150" i="1"/>
  <c r="B151" i="1"/>
  <c r="K149" i="1"/>
  <c r="K141" i="1"/>
  <c r="K142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E136" i="1"/>
  <c r="K132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I124" i="1"/>
  <c r="I125" i="1"/>
  <c r="I122" i="1"/>
  <c r="K121" i="1"/>
  <c r="B88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J102" i="1"/>
  <c r="K85" i="1"/>
  <c r="B77" i="1"/>
  <c r="B78" i="1"/>
  <c r="B79" i="1"/>
  <c r="B80" i="1"/>
  <c r="B81" i="1"/>
  <c r="B82" i="1"/>
  <c r="B83" i="1"/>
  <c r="B84" i="1"/>
  <c r="B85" i="1"/>
  <c r="B70" i="1"/>
  <c r="B71" i="1"/>
  <c r="B72" i="1"/>
  <c r="B73" i="1"/>
  <c r="B74" i="1"/>
  <c r="L73" i="1"/>
  <c r="J73" i="1"/>
  <c r="I73" i="1"/>
  <c r="I72" i="1"/>
  <c r="J72" i="1"/>
  <c r="K67" i="1"/>
  <c r="B59" i="1"/>
  <c r="B60" i="1"/>
  <c r="B61" i="1"/>
  <c r="B62" i="1"/>
  <c r="B63" i="1"/>
  <c r="B64" i="1"/>
  <c r="B65" i="1"/>
  <c r="B66" i="1"/>
  <c r="B67" i="1"/>
  <c r="B55" i="1"/>
  <c r="B56" i="1"/>
  <c r="B47" i="1"/>
  <c r="B48" i="1"/>
  <c r="B49" i="1"/>
  <c r="B50" i="1"/>
  <c r="B51" i="1"/>
  <c r="B52" i="1"/>
  <c r="J46" i="1"/>
  <c r="B41" i="1"/>
  <c r="B42" i="1"/>
  <c r="B43" i="1"/>
  <c r="B44" i="1"/>
  <c r="B38" i="1"/>
  <c r="B32" i="1"/>
  <c r="B33" i="1"/>
  <c r="B34" i="1"/>
  <c r="B35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</calcChain>
</file>

<file path=xl/sharedStrings.xml><?xml version="1.0" encoding="utf-8"?>
<sst xmlns="http://schemas.openxmlformats.org/spreadsheetml/2006/main" count="283" uniqueCount="180">
  <si>
    <t>PRESUPUESTO No.</t>
  </si>
  <si>
    <t>DESCRIPCION DE LOS TRABAJOS:</t>
  </si>
  <si>
    <t>REPARACIÓN DEL EDIFICIO DE BOMBEROS</t>
  </si>
  <si>
    <t>DIRECCIÓN:</t>
  </si>
  <si>
    <t>AVE. HERMANAS MIRABAL (PUNTA)</t>
  </si>
  <si>
    <t>CIRCUNSCRIPCIÓN</t>
  </si>
  <si>
    <t>VILLA MELLA NORTE</t>
  </si>
  <si>
    <t>MUNICIPIO:</t>
  </si>
  <si>
    <t>SANTO DOMINGO NORTE</t>
  </si>
  <si>
    <t>FECHA DE ELABORACION:</t>
  </si>
  <si>
    <t>NO.</t>
  </si>
  <si>
    <t>DETALLE</t>
  </si>
  <si>
    <t>CANT.</t>
  </si>
  <si>
    <t>UNID.</t>
  </si>
  <si>
    <t>P.U.</t>
  </si>
  <si>
    <t>SUB-TOTAL</t>
  </si>
  <si>
    <t>TOTAL</t>
  </si>
  <si>
    <t>DEMOLICIONES Y DESMONTE</t>
  </si>
  <si>
    <t xml:space="preserve">Desmonte de plafón existenes, incluye instalaciones eléctricas en mal estado </t>
  </si>
  <si>
    <t>M2</t>
  </si>
  <si>
    <t xml:space="preserve">Desmonte cerámica en paredes existente en baños </t>
  </si>
  <si>
    <t xml:space="preserve">Desmonte cerámica de piso existente en baños </t>
  </si>
  <si>
    <t>Desmonte de tapas de cisterna 2und(1.00x1.00)m y séptico 1und(4.97x3.00)m</t>
  </si>
  <si>
    <t>UND</t>
  </si>
  <si>
    <t>Demolición de losa en HA con compresor en toda el área del parqueo, e=0.10m</t>
  </si>
  <si>
    <t>M3</t>
  </si>
  <si>
    <t xml:space="preserve">Desmonte de ventanas existentes </t>
  </si>
  <si>
    <t xml:space="preserve">Desmonte de aparatos sanitarios (12 inodoros, 3 lavamanos, 6 orinales y 1 fregadero) </t>
  </si>
  <si>
    <t xml:space="preserve">Demolición de aceras, L=11.00ml x ancho=0.94m </t>
  </si>
  <si>
    <t xml:space="preserve">Demolición de conten, L=11.00ml </t>
  </si>
  <si>
    <t>ML</t>
  </si>
  <si>
    <t>Demolición de H.A.</t>
  </si>
  <si>
    <t>Desmonte de huellas en granito de esclaera internas, 12UND</t>
  </si>
  <si>
    <t>PA</t>
  </si>
  <si>
    <t xml:space="preserve">Desmonte tope de meseta existente en cocina, gabinetes de pared y puertas en madera debajo de la meseta </t>
  </si>
  <si>
    <t>Bote de material producto de demolición y escombros, e=25%</t>
  </si>
  <si>
    <t>M3E</t>
  </si>
  <si>
    <t>HORMIGÒN ARMADO (CONTINUIDAD DE LA TORRE)</t>
  </si>
  <si>
    <t>Viga (0.20X0.20)mt, f'c=210kg/cm2 (Ligad.), 4Ø3/8",  Est. Ø3/8"@0.20mt</t>
  </si>
  <si>
    <t xml:space="preserve">Columna C1 (0.20X0.20)mt, f'c=210kg/cm2, 4Ø1/2", Est. Ø3/8" @ 0.18mt </t>
  </si>
  <si>
    <t xml:space="preserve">Columna C2 (0.20X0.60)mt, 210kg/cm2 , 8Ø1/2",Est. Ø3/8"@0.15M </t>
  </si>
  <si>
    <t xml:space="preserve">Losa de techo (4 Aguas) e=0.12mt, f'c=210kg/cm2, X-X Ø3/8"@0.20mt, Y-Y Ø3/8"@0.20mt </t>
  </si>
  <si>
    <t xml:space="preserve">BLOQUES DE HORMIGÓN </t>
  </si>
  <si>
    <t>Bloques de  6" , Ø3/8@0.60 mt</t>
  </si>
  <si>
    <t/>
  </si>
  <si>
    <t>TERMINACIÒN DE SUPERFICIES (TORRE)</t>
  </si>
  <si>
    <t>Fraguache (Columnas,vigas y techo)</t>
  </si>
  <si>
    <t>Pañete general</t>
  </si>
  <si>
    <t>Canto</t>
  </si>
  <si>
    <t>Mocheta</t>
  </si>
  <si>
    <t>PINTURA GENERAL</t>
  </si>
  <si>
    <t>Pintura acrílica superior general, incluye muros interiores y exteriores, techos</t>
  </si>
  <si>
    <t xml:space="preserve">Pintura acrílica superior general en verja perimetral y jardineria </t>
  </si>
  <si>
    <t>Pintura de matenimiento en tubo de soporte para la bandera</t>
  </si>
  <si>
    <t xml:space="preserve">Pintura de matenimiento en portón de entrada principal y puertas peatonales </t>
  </si>
  <si>
    <t xml:space="preserve">Pintura de matenimiento en escalera de caracol y soldadura </t>
  </si>
  <si>
    <t>P.A.</t>
  </si>
  <si>
    <t>Pintura acrílica superior (Torre)</t>
  </si>
  <si>
    <t>TERMINACION DE TECHO</t>
  </si>
  <si>
    <t>S/C: Lona asfaltica e=4mm</t>
  </si>
  <si>
    <t>S/C: Lona asfaltica e=4mm (Techo de torre)</t>
  </si>
  <si>
    <t>CERAMICAS</t>
  </si>
  <si>
    <t xml:space="preserve">Brillado y cristalizado de pisos </t>
  </si>
  <si>
    <t xml:space="preserve">Brillado y cristalizado de granito en escaleras </t>
  </si>
  <si>
    <t xml:space="preserve">Brillado y cristalizado de cerámicas en muros de baños </t>
  </si>
  <si>
    <t xml:space="preserve">S/C: Granito de fondo gris en piso de baño (0.15x0.15)m </t>
  </si>
  <si>
    <t xml:space="preserve">S/C: Granito de fondo gris en área donde se pondra desague nuevo, cocina y habitación (0.15x0.15)m </t>
  </si>
  <si>
    <t>Revestimiento en pared de cerámica europea similar a la existente  (0.15x0.15)m</t>
  </si>
  <si>
    <t xml:space="preserve">S/C: Huella redondeada en Granito Gris, 12und </t>
  </si>
  <si>
    <t>S/C: Piso de granito fondo gris</t>
  </si>
  <si>
    <t>S/C: Zocalos en granito fondo gris</t>
  </si>
  <si>
    <t>PUERTAS, VENTANAS Y COCINA</t>
  </si>
  <si>
    <t>S/C: Ventana corredera aluminio y vidrio Perfil P92, 6und(2.00*1.10)m, 6und(1.20x1.92)m, 1und(0.50x1.25)m, 9und(1.00x1.10)m y 7und(3.00x1.10)m</t>
  </si>
  <si>
    <t>P2</t>
  </si>
  <si>
    <t>Mantenimiento de puerta (incluye cambio de llavín)</t>
  </si>
  <si>
    <t>S/C: Gabinetes de pared en Caoba tratado h=2pies, todo costo</t>
  </si>
  <si>
    <t>PL</t>
  </si>
  <si>
    <t>S/C: Puertas en pino tratado debajo de mesetas con marco, todo costo</t>
  </si>
  <si>
    <t>S/C: Tope en granito natural en cocina, todo costo</t>
  </si>
  <si>
    <t xml:space="preserve">INSTALACIONES SANITARIAS </t>
  </si>
  <si>
    <t xml:space="preserve">S/C: Inodoros tipo tanque, blancos  </t>
  </si>
  <si>
    <t>S/C: Lavamanos con pedestal, blancos y mezcladora</t>
  </si>
  <si>
    <t>S/C: Orinales sencillo tipo push, blancos</t>
  </si>
  <si>
    <t xml:space="preserve">S/C: Fregadero doble en acero inoxidable, incluye mezcladora  </t>
  </si>
  <si>
    <t>Sondeo y cambio de tuberias dañadas en cada baño</t>
  </si>
  <si>
    <t>S/C: Pozo filtrante de 10" encamizado en 8" incluye perforación, tuberias PVC y mano de obra</t>
  </si>
  <si>
    <t xml:space="preserve">S/C: Bomba sumergible de 1HP, incluye accesorios menores para instalación </t>
  </si>
  <si>
    <t xml:space="preserve">Conexión de pozo filtrante con red sanitaria </t>
  </si>
  <si>
    <t xml:space="preserve">S/C: Desague de piso de Ø2", incluye rejilla </t>
  </si>
  <si>
    <t xml:space="preserve">INSTALACION ELECTRICA </t>
  </si>
  <si>
    <t xml:space="preserve">Lamparas LED de exterior </t>
  </si>
  <si>
    <t>Caja de registro 4x4 para control automático de las luces exteriores y normalización de acometida de la CDE</t>
  </si>
  <si>
    <t>Main breaker 100AMP</t>
  </si>
  <si>
    <t>Braker Europeo 40amp/60amp/80amp (Bomba de agua)</t>
  </si>
  <si>
    <t>Contactor a 110V</t>
  </si>
  <si>
    <t>Timer</t>
  </si>
  <si>
    <t xml:space="preserve">Lamparas LED de interior </t>
  </si>
  <si>
    <t>Toma corrientes</t>
  </si>
  <si>
    <t>Interruptor Simple SW1</t>
  </si>
  <si>
    <t>Interruptor Doble SW2</t>
  </si>
  <si>
    <t>Tapa ciega 2x4</t>
  </si>
  <si>
    <t xml:space="preserve">Interruptores 3 way </t>
  </si>
  <si>
    <t>Luces de oficina LED</t>
  </si>
  <si>
    <t>Rosetas 16"</t>
  </si>
  <si>
    <t>Tapa caja breaker americana 8/16 circuito</t>
  </si>
  <si>
    <t>Bombillos de bajo consumo</t>
  </si>
  <si>
    <t>Registros 2x2</t>
  </si>
  <si>
    <t>Conduflex 3/4"</t>
  </si>
  <si>
    <t>PIES</t>
  </si>
  <si>
    <t>Plancha de tola para hacer tapa de registros en muy mal estados</t>
  </si>
  <si>
    <t>PLANCHA</t>
  </si>
  <si>
    <t xml:space="preserve">Mano de obra </t>
  </si>
  <si>
    <t>%</t>
  </si>
  <si>
    <t>S/C: Abanicos de techo KDK de 56" 110V/60Hz 3 palas</t>
  </si>
  <si>
    <t>S/C: Aires acondicionado Inverter de 12,000 BTU Eficiencia - 20</t>
  </si>
  <si>
    <t>Unidad de A/A de 36,000 BTU Inverter Split SEER18 (Incluye Instalación)</t>
  </si>
  <si>
    <t xml:space="preserve">AREA EXTERIOR </t>
  </si>
  <si>
    <t xml:space="preserve">Relleno de Material Clasificado (Caliche) para losa de piso, Regado, Nivelado y Compactado e=0.10m, cc=30% </t>
  </si>
  <si>
    <t>M3C</t>
  </si>
  <si>
    <t>Losa de piso en HA, f'c=210kg/cm2, e=0.10m incluye malla electrosoldada d 2.30*2.30  150*150</t>
  </si>
  <si>
    <t>S/C: Tapa de cisterna en aluminio (1.00x1.00)m</t>
  </si>
  <si>
    <t>S/C: Tapa de séptico en HA (4.97x3.00)m</t>
  </si>
  <si>
    <t>Señalización con pintura de tráfico en losa de HA nueva</t>
  </si>
  <si>
    <t xml:space="preserve">Pilotillos para colocar alrededor de la cisterna </t>
  </si>
  <si>
    <t xml:space="preserve">Limpieza de canaleta para drenaje exterior, incluye bote de escombros </t>
  </si>
  <si>
    <t>S/C: Rejilla metálica en canaleta de drenaje exterior, (con angulares 1-1/2"x1/4" y barras Ø 1/2")</t>
  </si>
  <si>
    <t>Resane y mantenimineto de columnas decoradas en parqueo (incluye pintura)</t>
  </si>
  <si>
    <t xml:space="preserve">Remoción de pañete </t>
  </si>
  <si>
    <t>Resane de pañete en muro, con malla tipo piñonate para soporte estructural en áreas con grietas</t>
  </si>
  <si>
    <t xml:space="preserve">Limpieza de cisterna </t>
  </si>
  <si>
    <t xml:space="preserve">Mantenimiento y reparación de la escalera metálica giratoria, incluye antioxido </t>
  </si>
  <si>
    <t>CASETA DE GAS (1.50x2.00x0.80)m</t>
  </si>
  <si>
    <t>Excavación para zapata de muro (0.65x0.45)mts</t>
  </si>
  <si>
    <t xml:space="preserve">Relleno de reposición en zapata de muro, cc=30% </t>
  </si>
  <si>
    <t>Bote de material producto de excavación , e=25%</t>
  </si>
  <si>
    <t xml:space="preserve">Zapatas de HA para muros, f'c=210kg/cm2, acero 3Ø3/8" y  Ø3/8@0.22m </t>
  </si>
  <si>
    <t xml:space="preserve">Muro de block 6", acero Ø3/8@0.60m, BNP </t>
  </si>
  <si>
    <t xml:space="preserve">Muro de block 6", acero Ø3/8@0.60m, SNP </t>
  </si>
  <si>
    <t xml:space="preserve">Losa de techo inclinada en HA e=0.10m, f'c=210kg/cm2, acero Ø3/8"@0.25m  </t>
  </si>
  <si>
    <t>Fraguache en elementos de HA</t>
  </si>
  <si>
    <t xml:space="preserve">Pañete general en muros nuevos </t>
  </si>
  <si>
    <t>Cantos y mochetas</t>
  </si>
  <si>
    <t xml:space="preserve">S/C: puerta en hierro doble (1.50*2.00)m </t>
  </si>
  <si>
    <t xml:space="preserve">S/C: tuberia de suministro de gas, para conectar desde la caseta a la cocina </t>
  </si>
  <si>
    <t xml:space="preserve">CONSTRUCCIÓN DE ACERAS Y CONTENES PULIDO </t>
  </si>
  <si>
    <t xml:space="preserve">Replanteo de contenes </t>
  </si>
  <si>
    <t>Excavación de contenes a mano (11.00x0.50x0.20)mts</t>
  </si>
  <si>
    <t>Excavación de acera a mano (11.00x1.00x0.10)mts</t>
  </si>
  <si>
    <t xml:space="preserve">Relleno de Material Clasificado (Caliche) debajo de Acera, Regado, Nivelado y Compactado e=0.20m </t>
  </si>
  <si>
    <t>Telford para contenes (11.00x0.50x0.20)mts</t>
  </si>
  <si>
    <t>Bote de material inservible producto de la Excavación e=20%</t>
  </si>
  <si>
    <t>Conten Pulido h=0.30m - Hormigón 210kg/cm2 b=0.50m, h=0.30m, sección 0.14m2</t>
  </si>
  <si>
    <t>Acera en Hormigón Violinada e=0.10m, Hormigón 210kg/cm2, (11.00x1.00x0.10)m</t>
  </si>
  <si>
    <t>ORNAMENTACION</t>
  </si>
  <si>
    <t>Suiministro y colocación de Tierras Negras</t>
  </si>
  <si>
    <t xml:space="preserve">Suministro y colocación de grama </t>
  </si>
  <si>
    <t>Suministro y colocación de Coralillo Rojo</t>
  </si>
  <si>
    <t>Suministro y colocación de Fokienti</t>
  </si>
  <si>
    <t>Suministro y colocación de Trinitarias</t>
  </si>
  <si>
    <t xml:space="preserve">LIMPIEZA FINAL </t>
  </si>
  <si>
    <t>Limpieza final y continua</t>
  </si>
  <si>
    <t xml:space="preserve">SUB-TOTAL GENERAL </t>
  </si>
  <si>
    <t>GASTOS INDIRECTOS</t>
  </si>
  <si>
    <t>SEGUROS Y FIANZAS</t>
  </si>
  <si>
    <t>GASTOS ADMINISTRATIVO</t>
  </si>
  <si>
    <t>TRANSPORTE</t>
  </si>
  <si>
    <t>BENEFICIOS</t>
  </si>
  <si>
    <t>SUPERVISION</t>
  </si>
  <si>
    <t>LEY686</t>
  </si>
  <si>
    <t>CODIA</t>
  </si>
  <si>
    <t xml:space="preserve">IMPREVISTO </t>
  </si>
  <si>
    <t>ITBIS (sobre los trabajos cotizados)</t>
  </si>
  <si>
    <t xml:space="preserve">TOTAL  GENERAL </t>
  </si>
  <si>
    <t>Elaborado por:</t>
  </si>
  <si>
    <t>ING. PATRIA PEGUERO</t>
  </si>
  <si>
    <t>Unidad de Presupuestos</t>
  </si>
  <si>
    <t xml:space="preserve"> </t>
  </si>
  <si>
    <t>Aprobado por:</t>
  </si>
  <si>
    <t xml:space="preserve">ING. CRESENCIO PAREDES POLANCO </t>
  </si>
  <si>
    <t>Director Obras Públicas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</si>
</sst>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sz val="12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1" applyFont="1"/>
    <xf numFmtId="0" fontId="2" fillId="2" borderId="4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14" fontId="7" fillId="2" borderId="6" xfId="1" applyNumberFormat="1" applyFont="1" applyFill="1" applyBorder="1" applyAlignment="1">
      <alignment horizontal="left" vertical="center"/>
    </xf>
    <xf numFmtId="164" fontId="6" fillId="4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8" fillId="0" borderId="0" xfId="0" applyFont="1" applyFill="1"/>
    <xf numFmtId="4" fontId="6" fillId="5" borderId="11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vertical="center"/>
    </xf>
    <xf numFmtId="4" fontId="6" fillId="5" borderId="9" xfId="0" applyNumberFormat="1" applyFont="1" applyFill="1" applyBorder="1" applyAlignment="1">
      <alignment horizontal="right" vertical="center"/>
    </xf>
    <xf numFmtId="0" fontId="4" fillId="6" borderId="0" xfId="1" applyFont="1" applyFill="1"/>
    <xf numFmtId="4" fontId="7" fillId="0" borderId="12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left" wrapText="1"/>
    </xf>
    <xf numFmtId="4" fontId="7" fillId="0" borderId="13" xfId="1" applyNumberFormat="1" applyFont="1" applyFill="1" applyBorder="1" applyAlignment="1">
      <alignment horizontal="center" vertical="center"/>
    </xf>
    <xf numFmtId="4" fontId="7" fillId="0" borderId="13" xfId="1" applyNumberFormat="1" applyFont="1" applyFill="1" applyBorder="1" applyAlignment="1">
      <alignment horizontal="right" vertical="center"/>
    </xf>
    <xf numFmtId="4" fontId="7" fillId="0" borderId="14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horizontal="right" vertical="center"/>
    </xf>
    <xf numFmtId="0" fontId="7" fillId="3" borderId="13" xfId="1" applyFont="1" applyFill="1" applyBorder="1" applyAlignment="1">
      <alignment horizontal="left" wrapText="1"/>
    </xf>
    <xf numFmtId="4" fontId="7" fillId="3" borderId="13" xfId="1" applyNumberFormat="1" applyFont="1" applyFill="1" applyBorder="1" applyAlignment="1">
      <alignment horizontal="center" vertical="center"/>
    </xf>
    <xf numFmtId="4" fontId="7" fillId="3" borderId="13" xfId="1" applyNumberFormat="1" applyFont="1" applyFill="1" applyBorder="1" applyAlignment="1">
      <alignment horizontal="right" vertical="center"/>
    </xf>
    <xf numFmtId="4" fontId="7" fillId="3" borderId="14" xfId="1" applyNumberFormat="1" applyFont="1" applyFill="1" applyBorder="1" applyAlignment="1">
      <alignment horizontal="right" vertical="center"/>
    </xf>
    <xf numFmtId="0" fontId="6" fillId="3" borderId="16" xfId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right" vertical="center"/>
    </xf>
    <xf numFmtId="4" fontId="10" fillId="3" borderId="13" xfId="0" applyNumberFormat="1" applyFont="1" applyFill="1" applyBorder="1" applyAlignment="1" applyProtection="1">
      <alignment vertical="center"/>
      <protection locked="0"/>
    </xf>
    <xf numFmtId="0" fontId="4" fillId="3" borderId="0" xfId="1" applyFont="1" applyFill="1"/>
    <xf numFmtId="4" fontId="7" fillId="3" borderId="12" xfId="1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wrapText="1"/>
    </xf>
    <xf numFmtId="4" fontId="7" fillId="0" borderId="18" xfId="1" applyNumberFormat="1" applyFont="1" applyFill="1" applyBorder="1" applyAlignment="1">
      <alignment horizontal="center" vertical="center"/>
    </xf>
    <xf numFmtId="4" fontId="7" fillId="0" borderId="18" xfId="1" applyNumberFormat="1" applyFont="1" applyFill="1" applyBorder="1" applyAlignment="1">
      <alignment horizontal="right" vertical="center"/>
    </xf>
    <xf numFmtId="4" fontId="7" fillId="0" borderId="19" xfId="1" applyNumberFormat="1" applyFont="1" applyFill="1" applyBorder="1" applyAlignment="1">
      <alignment horizontal="right" vertical="center"/>
    </xf>
    <xf numFmtId="4" fontId="6" fillId="0" borderId="20" xfId="1" applyNumberFormat="1" applyFont="1" applyFill="1" applyBorder="1" applyAlignment="1">
      <alignment horizontal="right" vertical="center"/>
    </xf>
    <xf numFmtId="0" fontId="4" fillId="5" borderId="0" xfId="1" applyFont="1" applyFill="1" applyAlignment="1">
      <alignment vertical="center"/>
    </xf>
    <xf numFmtId="4" fontId="6" fillId="5" borderId="11" xfId="1" applyNumberFormat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left" vertical="center" wrapText="1"/>
    </xf>
    <xf numFmtId="4" fontId="7" fillId="5" borderId="8" xfId="1" applyNumberFormat="1" applyFont="1" applyFill="1" applyBorder="1" applyAlignment="1">
      <alignment horizontal="center" vertical="center"/>
    </xf>
    <xf numFmtId="4" fontId="7" fillId="5" borderId="8" xfId="1" applyNumberFormat="1" applyFont="1" applyFill="1" applyBorder="1" applyAlignment="1">
      <alignment horizontal="right" vertical="center"/>
    </xf>
    <xf numFmtId="4" fontId="6" fillId="5" borderId="3" xfId="1" applyNumberFormat="1" applyFont="1" applyFill="1" applyBorder="1" applyAlignment="1">
      <alignment horizontal="right" vertical="center"/>
    </xf>
    <xf numFmtId="4" fontId="7" fillId="0" borderId="21" xfId="1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7" fillId="0" borderId="21" xfId="1" applyNumberFormat="1" applyFont="1" applyFill="1" applyBorder="1" applyAlignment="1">
      <alignment horizontal="right" vertical="center"/>
    </xf>
    <xf numFmtId="4" fontId="6" fillId="0" borderId="22" xfId="1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4" fontId="6" fillId="0" borderId="23" xfId="1" applyNumberFormat="1" applyFont="1" applyFill="1" applyBorder="1" applyAlignment="1">
      <alignment horizontal="right" vertical="center"/>
    </xf>
    <xf numFmtId="4" fontId="7" fillId="3" borderId="21" xfId="1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 applyProtection="1">
      <alignment horizontal="left" wrapText="1"/>
      <protection locked="0"/>
    </xf>
    <xf numFmtId="4" fontId="7" fillId="3" borderId="21" xfId="1" applyNumberFormat="1" applyFont="1" applyFill="1" applyBorder="1" applyAlignment="1">
      <alignment horizontal="right" vertical="center"/>
    </xf>
    <xf numFmtId="4" fontId="6" fillId="3" borderId="23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wrapText="1"/>
    </xf>
    <xf numFmtId="4" fontId="7" fillId="0" borderId="0" xfId="1" applyNumberFormat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horizontal="left" wrapText="1"/>
    </xf>
    <xf numFmtId="4" fontId="7" fillId="0" borderId="24" xfId="1" applyNumberFormat="1" applyFont="1" applyFill="1" applyBorder="1" applyAlignment="1">
      <alignment horizontal="right" vertical="center"/>
    </xf>
    <xf numFmtId="4" fontId="7" fillId="0" borderId="25" xfId="1" applyNumberFormat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left" wrapText="1"/>
    </xf>
    <xf numFmtId="4" fontId="7" fillId="0" borderId="25" xfId="1" applyNumberFormat="1" applyFont="1" applyFill="1" applyBorder="1" applyAlignment="1">
      <alignment horizontal="right" vertical="center"/>
    </xf>
    <xf numFmtId="4" fontId="7" fillId="0" borderId="26" xfId="1" applyNumberFormat="1" applyFont="1" applyFill="1" applyBorder="1" applyAlignment="1">
      <alignment horizontal="right" vertical="center"/>
    </xf>
    <xf numFmtId="0" fontId="4" fillId="5" borderId="0" xfId="1" applyFont="1" applyFill="1"/>
    <xf numFmtId="4" fontId="6" fillId="5" borderId="9" xfId="1" applyNumberFormat="1" applyFont="1" applyFill="1" applyBorder="1" applyAlignment="1">
      <alignment horizontal="right" vertical="center"/>
    </xf>
    <xf numFmtId="4" fontId="6" fillId="0" borderId="27" xfId="1" applyNumberFormat="1" applyFont="1" applyFill="1" applyBorder="1" applyAlignment="1">
      <alignment horizontal="right"/>
    </xf>
    <xf numFmtId="4" fontId="4" fillId="6" borderId="0" xfId="1" applyNumberFormat="1" applyFont="1" applyFill="1"/>
    <xf numFmtId="0" fontId="6" fillId="3" borderId="15" xfId="1" applyFont="1" applyFill="1" applyBorder="1" applyAlignment="1">
      <alignment horizontal="right" vertical="center"/>
    </xf>
    <xf numFmtId="0" fontId="6" fillId="0" borderId="28" xfId="1" applyFont="1" applyFill="1" applyBorder="1" applyAlignment="1">
      <alignment horizontal="right" vertical="center"/>
    </xf>
    <xf numFmtId="4" fontId="7" fillId="0" borderId="29" xfId="1" applyNumberFormat="1" applyFont="1" applyFill="1" applyBorder="1" applyAlignment="1">
      <alignment horizontal="right" vertical="center"/>
    </xf>
    <xf numFmtId="4" fontId="7" fillId="3" borderId="30" xfId="1" applyNumberFormat="1" applyFont="1" applyFill="1" applyBorder="1" applyAlignment="1">
      <alignment horizontal="center" vertical="center"/>
    </xf>
    <xf numFmtId="4" fontId="7" fillId="0" borderId="30" xfId="1" applyNumberFormat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right" vertical="center"/>
    </xf>
    <xf numFmtId="4" fontId="9" fillId="0" borderId="13" xfId="1" applyNumberFormat="1" applyFont="1" applyFill="1" applyBorder="1" applyAlignment="1">
      <alignment horizontal="right" vertical="center"/>
    </xf>
    <xf numFmtId="4" fontId="10" fillId="0" borderId="13" xfId="0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>
      <alignment horizontal="left" vertical="center" wrapText="1"/>
    </xf>
    <xf numFmtId="0" fontId="6" fillId="0" borderId="31" xfId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0" fontId="6" fillId="0" borderId="32" xfId="1" applyFont="1" applyFill="1" applyBorder="1" applyAlignment="1">
      <alignment horizontal="right" vertical="center"/>
    </xf>
    <xf numFmtId="4" fontId="6" fillId="0" borderId="33" xfId="1" applyNumberFormat="1" applyFont="1" applyFill="1" applyBorder="1" applyAlignment="1">
      <alignment horizontal="right" vertical="center"/>
    </xf>
    <xf numFmtId="2" fontId="6" fillId="3" borderId="34" xfId="1" applyNumberFormat="1" applyFont="1" applyFill="1" applyBorder="1" applyAlignment="1">
      <alignment horizontal="right"/>
    </xf>
    <xf numFmtId="2" fontId="6" fillId="3" borderId="35" xfId="1" applyNumberFormat="1" applyFont="1" applyFill="1" applyBorder="1" applyAlignment="1">
      <alignment horizontal="right"/>
    </xf>
    <xf numFmtId="4" fontId="6" fillId="3" borderId="36" xfId="1" applyNumberFormat="1" applyFont="1" applyFill="1" applyBorder="1" applyAlignment="1">
      <alignment horizontal="right"/>
    </xf>
    <xf numFmtId="4" fontId="6" fillId="5" borderId="39" xfId="1" applyNumberFormat="1" applyFont="1" applyFill="1" applyBorder="1" applyAlignment="1">
      <alignment horizontal="right"/>
    </xf>
    <xf numFmtId="4" fontId="4" fillId="7" borderId="0" xfId="1" applyNumberFormat="1" applyFont="1" applyFill="1"/>
    <xf numFmtId="0" fontId="4" fillId="7" borderId="0" xfId="1" applyFont="1" applyFill="1"/>
    <xf numFmtId="0" fontId="7" fillId="0" borderId="13" xfId="1" applyFont="1" applyBorder="1" applyAlignment="1"/>
    <xf numFmtId="2" fontId="7" fillId="0" borderId="13" xfId="1" applyNumberFormat="1" applyFont="1" applyBorder="1" applyAlignment="1">
      <alignment horizontal="center" vertical="center"/>
    </xf>
    <xf numFmtId="10" fontId="7" fillId="0" borderId="13" xfId="1" applyNumberFormat="1" applyFont="1" applyBorder="1" applyAlignment="1">
      <alignment horizontal="center"/>
    </xf>
    <xf numFmtId="4" fontId="7" fillId="0" borderId="13" xfId="1" applyNumberFormat="1" applyFont="1" applyBorder="1" applyAlignment="1">
      <alignment horizontal="right"/>
    </xf>
    <xf numFmtId="4" fontId="7" fillId="0" borderId="14" xfId="1" applyNumberFormat="1" applyFont="1" applyBorder="1" applyAlignment="1">
      <alignment horizontal="right"/>
    </xf>
    <xf numFmtId="0" fontId="4" fillId="3" borderId="32" xfId="1" applyFont="1" applyFill="1" applyBorder="1"/>
    <xf numFmtId="0" fontId="4" fillId="3" borderId="40" xfId="1" applyFont="1" applyFill="1" applyBorder="1"/>
    <xf numFmtId="0" fontId="4" fillId="0" borderId="40" xfId="1" applyFont="1" applyBorder="1"/>
    <xf numFmtId="10" fontId="7" fillId="0" borderId="13" xfId="2" applyNumberFormat="1" applyFont="1" applyBorder="1" applyAlignment="1">
      <alignment horizontal="center"/>
    </xf>
    <xf numFmtId="4" fontId="6" fillId="3" borderId="33" xfId="1" applyNumberFormat="1" applyFont="1" applyFill="1" applyBorder="1"/>
    <xf numFmtId="4" fontId="12" fillId="5" borderId="10" xfId="1" applyNumberFormat="1" applyFont="1" applyFill="1" applyBorder="1"/>
    <xf numFmtId="0" fontId="9" fillId="0" borderId="42" xfId="0" applyFont="1" applyFill="1" applyBorder="1" applyAlignment="1">
      <alignment vertical="center"/>
    </xf>
    <xf numFmtId="0" fontId="9" fillId="0" borderId="43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right" vertical="center"/>
    </xf>
    <xf numFmtId="0" fontId="9" fillId="0" borderId="43" xfId="0" applyFont="1" applyFill="1" applyBorder="1" applyAlignment="1">
      <alignment horizontal="center" vertical="center"/>
    </xf>
    <xf numFmtId="4" fontId="9" fillId="0" borderId="47" xfId="0" applyNumberFormat="1" applyFont="1" applyFill="1" applyBorder="1" applyAlignment="1">
      <alignment horizontal="right" vertical="center"/>
    </xf>
    <xf numFmtId="0" fontId="9" fillId="0" borderId="43" xfId="0" applyFont="1" applyFill="1" applyBorder="1" applyAlignment="1">
      <alignment vertical="center" wrapText="1"/>
    </xf>
    <xf numFmtId="0" fontId="9" fillId="0" borderId="43" xfId="0" applyFont="1" applyFill="1" applyBorder="1" applyAlignment="1">
      <alignment vertical="center"/>
    </xf>
    <xf numFmtId="0" fontId="9" fillId="0" borderId="47" xfId="0" applyFont="1" applyFill="1" applyBorder="1" applyAlignment="1">
      <alignment vertical="center"/>
    </xf>
    <xf numFmtId="0" fontId="13" fillId="0" borderId="43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right" vertical="center"/>
    </xf>
    <xf numFmtId="0" fontId="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 wrapText="1"/>
    </xf>
    <xf numFmtId="0" fontId="9" fillId="0" borderId="43" xfId="0" applyFont="1" applyBorder="1" applyAlignment="1">
      <alignment horizontal="right" vertical="center"/>
    </xf>
    <xf numFmtId="0" fontId="9" fillId="0" borderId="43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4" fillId="0" borderId="0" xfId="1" applyFont="1" applyBorder="1"/>
    <xf numFmtId="0" fontId="15" fillId="0" borderId="0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/>
    <xf numFmtId="0" fontId="13" fillId="0" borderId="43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14" fontId="7" fillId="2" borderId="6" xfId="1" applyNumberFormat="1" applyFont="1" applyFill="1" applyBorder="1" applyAlignment="1">
      <alignment horizontal="left" vertical="center"/>
    </xf>
    <xf numFmtId="2" fontId="6" fillId="5" borderId="37" xfId="1" applyNumberFormat="1" applyFont="1" applyFill="1" applyBorder="1" applyAlignment="1">
      <alignment horizontal="right"/>
    </xf>
    <xf numFmtId="2" fontId="6" fillId="5" borderId="38" xfId="1" applyNumberFormat="1" applyFont="1" applyFill="1" applyBorder="1" applyAlignment="1">
      <alignment horizontal="right"/>
    </xf>
    <xf numFmtId="4" fontId="6" fillId="3" borderId="12" xfId="1" applyNumberFormat="1" applyFont="1" applyFill="1" applyBorder="1" applyAlignment="1">
      <alignment horizontal="right" vertical="center"/>
    </xf>
    <xf numFmtId="4" fontId="6" fillId="3" borderId="13" xfId="1" applyNumberFormat="1" applyFont="1" applyFill="1" applyBorder="1" applyAlignment="1">
      <alignment horizontal="right" vertical="center"/>
    </xf>
    <xf numFmtId="4" fontId="6" fillId="3" borderId="14" xfId="1" applyNumberFormat="1" applyFont="1" applyFill="1" applyBorder="1" applyAlignment="1">
      <alignment horizontal="right" vertical="center"/>
    </xf>
    <xf numFmtId="0" fontId="12" fillId="5" borderId="37" xfId="1" applyFont="1" applyFill="1" applyBorder="1" applyAlignment="1">
      <alignment horizontal="right"/>
    </xf>
    <xf numFmtId="0" fontId="12" fillId="5" borderId="38" xfId="1" applyFont="1" applyFill="1" applyBorder="1" applyAlignment="1">
      <alignment horizontal="right"/>
    </xf>
    <xf numFmtId="0" fontId="12" fillId="5" borderId="41" xfId="1" applyFont="1" applyFill="1" applyBorder="1" applyAlignment="1">
      <alignment horizontal="right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Porcentaj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964743</xdr:colOff>
      <xdr:row>0</xdr:row>
      <xdr:rowOff>97432</xdr:rowOff>
    </xdr:from>
    <xdr:to>
      <xdr:col>6</xdr:col>
      <xdr:colOff>1059658</xdr:colOff>
      <xdr:row>5</xdr:row>
      <xdr:rowOff>23813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8718" y="97432"/>
          <a:ext cx="6362365" cy="926506"/>
        </a:xfrm>
        <a:prstGeom prst="rect">
          <a:avLst/>
        </a:prstGeom>
      </xdr:spPr>
    </xdr:pic>
    <xdr:clientData/>
  </xdr:twoCellAnchor>
  <xdr:twoCellAnchor>
    <xdr:from>
      <xdr:col>2</xdr:col>
      <xdr:colOff>679901</xdr:colOff>
      <xdr:row>181</xdr:row>
      <xdr:rowOff>17930</xdr:rowOff>
    </xdr:from>
    <xdr:to>
      <xdr:col>2</xdr:col>
      <xdr:colOff>3122409</xdr:colOff>
      <xdr:row>181</xdr:row>
      <xdr:rowOff>17931</xdr:rowOff>
    </xdr:to>
    <xdr:cxnSp macro="">
      <xdr:nvCxnSpPr>
        <xdr:cNvPr id="4" name="Conector recto 3"/>
        <xdr:cNvCxnSpPr/>
      </xdr:nvCxnSpPr>
      <xdr:spPr>
        <a:xfrm>
          <a:off x="2003876" y="54339005"/>
          <a:ext cx="2442508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A/Dropbox/Presupuesto/Analisis%20de%20Costos/base%20de%20an&#225;lisis%20de%20costos%20asd-AB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S"/>
      <sheetName val="Hoja2"/>
      <sheetName val="MATERIALES E INSUMOS"/>
      <sheetName val="MANO DE OBRA"/>
      <sheetName val="EQUIPOS Y MOV TIERRAS"/>
      <sheetName val="analisis Paredes"/>
    </sheetNames>
    <sheetDataSet>
      <sheetData sheetId="0"/>
      <sheetData sheetId="1"/>
      <sheetData sheetId="2">
        <row r="614">
          <cell r="D614">
            <v>500.5</v>
          </cell>
        </row>
        <row r="1475">
          <cell r="D1475">
            <v>4345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L1946"/>
  <sheetViews>
    <sheetView tabSelected="1" view="pageBreakPreview" topLeftCell="A8" zoomScaleSheetLayoutView="100" workbookViewId="0">
      <selection activeCell="C21" sqref="C21"/>
    </sheetView>
  </sheetViews>
  <sheetFormatPr baseColWidth="10" defaultColWidth="11.42578125" defaultRowHeight="15.75" x14ac:dyDescent="0.25"/>
  <cols>
    <col min="1" max="1" width="11.42578125" style="1"/>
    <col min="2" max="2" width="8.42578125" style="118" customWidth="1"/>
    <col min="3" max="3" width="59.140625" style="119" customWidth="1"/>
    <col min="4" max="4" width="10" style="118" customWidth="1"/>
    <col min="5" max="5" width="11.85546875" style="1" customWidth="1"/>
    <col min="6" max="6" width="13" style="1" bestFit="1" customWidth="1"/>
    <col min="7" max="7" width="16.140625" style="1" bestFit="1" customWidth="1"/>
    <col min="8" max="8" width="19.7109375" style="1" customWidth="1"/>
    <col min="9" max="9" width="14.42578125" style="1" hidden="1" customWidth="1"/>
    <col min="10" max="11" width="13" style="1" hidden="1" customWidth="1"/>
    <col min="12" max="12" width="11.42578125" style="1" hidden="1" customWidth="1"/>
    <col min="13" max="16384" width="11.42578125" style="1"/>
  </cols>
  <sheetData>
    <row r="1" spans="2:8" x14ac:dyDescent="0.25">
      <c r="B1" s="148"/>
      <c r="C1" s="149"/>
      <c r="D1" s="150"/>
      <c r="E1" s="150"/>
      <c r="F1" s="150"/>
      <c r="G1" s="150"/>
      <c r="H1" s="151"/>
    </row>
    <row r="2" spans="2:8" x14ac:dyDescent="0.25">
      <c r="B2" s="2"/>
      <c r="C2" s="3"/>
      <c r="D2" s="4"/>
      <c r="E2" s="4"/>
      <c r="F2" s="4"/>
      <c r="G2" s="4"/>
      <c r="H2" s="5"/>
    </row>
    <row r="3" spans="2:8" x14ac:dyDescent="0.25">
      <c r="B3" s="2"/>
      <c r="C3" s="3"/>
      <c r="D3" s="4"/>
      <c r="E3" s="4"/>
      <c r="F3" s="4"/>
      <c r="G3" s="4"/>
      <c r="H3" s="5"/>
    </row>
    <row r="4" spans="2:8" x14ac:dyDescent="0.25">
      <c r="B4" s="2"/>
      <c r="C4" s="3"/>
      <c r="D4" s="4"/>
      <c r="E4" s="4"/>
      <c r="F4" s="4"/>
      <c r="G4" s="4"/>
      <c r="H4" s="5"/>
    </row>
    <row r="5" spans="2:8" x14ac:dyDescent="0.25">
      <c r="B5" s="2"/>
      <c r="C5" s="3"/>
      <c r="D5" s="4"/>
      <c r="E5" s="4"/>
      <c r="F5" s="4"/>
      <c r="G5" s="4"/>
      <c r="H5" s="5"/>
    </row>
    <row r="6" spans="2:8" x14ac:dyDescent="0.25">
      <c r="B6" s="2"/>
      <c r="C6" s="3"/>
      <c r="D6" s="4"/>
      <c r="E6" s="4"/>
      <c r="F6" s="4"/>
      <c r="G6" s="4"/>
      <c r="H6" s="5"/>
    </row>
    <row r="7" spans="2:8" ht="22.5" x14ac:dyDescent="0.25">
      <c r="B7" s="152" t="s">
        <v>0</v>
      </c>
      <c r="C7" s="153"/>
      <c r="D7" s="153"/>
      <c r="E7" s="153"/>
      <c r="F7" s="153"/>
      <c r="G7" s="153"/>
      <c r="H7" s="154"/>
    </row>
    <row r="8" spans="2:8" x14ac:dyDescent="0.25">
      <c r="B8" s="155"/>
      <c r="C8" s="156"/>
      <c r="D8" s="157"/>
      <c r="E8" s="157"/>
      <c r="F8" s="157"/>
      <c r="G8" s="157"/>
      <c r="H8" s="158"/>
    </row>
    <row r="9" spans="2:8" ht="25.5" customHeight="1" thickBot="1" x14ac:dyDescent="0.3">
      <c r="B9" s="129" t="s">
        <v>1</v>
      </c>
      <c r="C9" s="130"/>
      <c r="D9" s="146" t="s">
        <v>2</v>
      </c>
      <c r="E9" s="146"/>
      <c r="F9" s="146"/>
      <c r="G9" s="146"/>
      <c r="H9" s="147"/>
    </row>
    <row r="10" spans="2:8" ht="25.5" customHeight="1" thickBot="1" x14ac:dyDescent="0.3">
      <c r="B10" s="129" t="s">
        <v>3</v>
      </c>
      <c r="C10" s="130"/>
      <c r="D10" s="131" t="s">
        <v>4</v>
      </c>
      <c r="E10" s="131"/>
      <c r="F10" s="131"/>
      <c r="G10" s="131"/>
      <c r="H10" s="132"/>
    </row>
    <row r="11" spans="2:8" ht="25.5" customHeight="1" thickBot="1" x14ac:dyDescent="0.3">
      <c r="B11" s="129" t="s">
        <v>5</v>
      </c>
      <c r="C11" s="130"/>
      <c r="D11" s="133" t="s">
        <v>6</v>
      </c>
      <c r="E11" s="133"/>
      <c r="F11" s="133"/>
      <c r="G11" s="133"/>
      <c r="H11" s="134"/>
    </row>
    <row r="12" spans="2:8" ht="25.5" customHeight="1" thickBot="1" x14ac:dyDescent="0.3">
      <c r="B12" s="129" t="s">
        <v>7</v>
      </c>
      <c r="C12" s="130"/>
      <c r="D12" s="135" t="s">
        <v>8</v>
      </c>
      <c r="E12" s="135"/>
      <c r="F12" s="135"/>
      <c r="G12" s="135"/>
      <c r="H12" s="136"/>
    </row>
    <row r="13" spans="2:8" ht="25.5" customHeight="1" thickBot="1" x14ac:dyDescent="0.3">
      <c r="B13" s="129" t="s">
        <v>9</v>
      </c>
      <c r="C13" s="130"/>
      <c r="D13" s="137"/>
      <c r="E13" s="137"/>
      <c r="F13" s="137"/>
      <c r="G13" s="6"/>
      <c r="H13" s="7"/>
    </row>
    <row r="14" spans="2:8" ht="19.5" thickBot="1" x14ac:dyDescent="0.3">
      <c r="B14" s="8"/>
      <c r="C14" s="9"/>
      <c r="D14" s="10"/>
      <c r="E14" s="10"/>
      <c r="F14" s="10"/>
      <c r="G14" s="6"/>
      <c r="H14" s="7"/>
    </row>
    <row r="15" spans="2:8" s="13" customFormat="1" ht="19.5" thickBot="1" x14ac:dyDescent="0.3">
      <c r="B15" s="11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</row>
    <row r="16" spans="2:8" s="13" customFormat="1" ht="19.5" thickBot="1" x14ac:dyDescent="0.3">
      <c r="B16" s="14">
        <v>1</v>
      </c>
      <c r="C16" s="15" t="s">
        <v>17</v>
      </c>
      <c r="D16" s="16"/>
      <c r="E16" s="16"/>
      <c r="F16" s="16"/>
      <c r="G16" s="16"/>
      <c r="H16" s="17"/>
    </row>
    <row r="17" spans="2:8" s="18" customFormat="1" ht="37.5" x14ac:dyDescent="0.3">
      <c r="B17" s="19">
        <f>+B16+0.01</f>
        <v>1.01</v>
      </c>
      <c r="C17" s="20" t="s">
        <v>18</v>
      </c>
      <c r="D17" s="21">
        <f>23.41+26.5+11.43+12.92</f>
        <v>74.259999999999991</v>
      </c>
      <c r="E17" s="21" t="s">
        <v>19</v>
      </c>
      <c r="F17" s="22"/>
      <c r="G17" s="23"/>
      <c r="H17" s="24"/>
    </row>
    <row r="18" spans="2:8" s="18" customFormat="1" ht="18.75" x14ac:dyDescent="0.3">
      <c r="B18" s="19">
        <f t="shared" ref="B18:B29" si="0">+B17+0.01</f>
        <v>1.02</v>
      </c>
      <c r="C18" s="25" t="s">
        <v>20</v>
      </c>
      <c r="D18" s="26">
        <f>+(7.85+36.17+15.82+20.8+16.85)*1.8*0.15</f>
        <v>26.322300000000002</v>
      </c>
      <c r="E18" s="26" t="s">
        <v>19</v>
      </c>
      <c r="F18" s="27"/>
      <c r="G18" s="28"/>
      <c r="H18" s="29"/>
    </row>
    <row r="19" spans="2:8" s="18" customFormat="1" ht="18" customHeight="1" x14ac:dyDescent="0.3">
      <c r="B19" s="19">
        <f t="shared" si="0"/>
        <v>1.03</v>
      </c>
      <c r="C19" s="20" t="s">
        <v>21</v>
      </c>
      <c r="D19" s="21">
        <f>3.31+3+4.95+20.62+16.84+7.5+7.53</f>
        <v>63.75</v>
      </c>
      <c r="E19" s="21" t="s">
        <v>19</v>
      </c>
      <c r="F19" s="22"/>
      <c r="G19" s="23"/>
      <c r="H19" s="30"/>
    </row>
    <row r="20" spans="2:8" s="18" customFormat="1" ht="37.5" x14ac:dyDescent="0.3">
      <c r="B20" s="19">
        <f t="shared" si="0"/>
        <v>1.04</v>
      </c>
      <c r="C20" s="20" t="s">
        <v>22</v>
      </c>
      <c r="D20" s="21">
        <v>3</v>
      </c>
      <c r="E20" s="21" t="s">
        <v>23</v>
      </c>
      <c r="F20" s="22"/>
      <c r="G20" s="23"/>
      <c r="H20" s="30"/>
    </row>
    <row r="21" spans="2:8" s="18" customFormat="1" ht="37.5" x14ac:dyDescent="0.3">
      <c r="B21" s="19">
        <f t="shared" si="0"/>
        <v>1.05</v>
      </c>
      <c r="C21" s="20" t="s">
        <v>24</v>
      </c>
      <c r="D21" s="26">
        <f>1176.7*0.1</f>
        <v>117.67000000000002</v>
      </c>
      <c r="E21" s="26" t="s">
        <v>25</v>
      </c>
      <c r="F21" s="31"/>
      <c r="G21" s="28"/>
      <c r="H21" s="29"/>
    </row>
    <row r="22" spans="2:8" s="18" customFormat="1" ht="18" customHeight="1" x14ac:dyDescent="0.3">
      <c r="B22" s="19">
        <f t="shared" si="0"/>
        <v>1.06</v>
      </c>
      <c r="C22" s="20" t="s">
        <v>26</v>
      </c>
      <c r="D22" s="21">
        <f>4+2+1+5+2+1+4+7+3+1</f>
        <v>30</v>
      </c>
      <c r="E22" s="21" t="s">
        <v>23</v>
      </c>
      <c r="F22" s="22"/>
      <c r="G22" s="23"/>
      <c r="H22" s="30"/>
    </row>
    <row r="23" spans="2:8" s="18" customFormat="1" ht="37.5" x14ac:dyDescent="0.3">
      <c r="B23" s="19">
        <f t="shared" si="0"/>
        <v>1.07</v>
      </c>
      <c r="C23" s="20" t="s">
        <v>27</v>
      </c>
      <c r="D23" s="21">
        <f>12+3+6+1</f>
        <v>22</v>
      </c>
      <c r="E23" s="21" t="s">
        <v>23</v>
      </c>
      <c r="F23" s="22"/>
      <c r="G23" s="23"/>
      <c r="H23" s="30"/>
    </row>
    <row r="24" spans="2:8" s="18" customFormat="1" ht="18" customHeight="1" x14ac:dyDescent="0.3">
      <c r="B24" s="19">
        <f t="shared" si="0"/>
        <v>1.08</v>
      </c>
      <c r="C24" s="20" t="s">
        <v>28</v>
      </c>
      <c r="D24" s="21">
        <f>11*0.94</f>
        <v>10.34</v>
      </c>
      <c r="E24" s="21" t="s">
        <v>19</v>
      </c>
      <c r="F24" s="31"/>
      <c r="G24" s="23"/>
      <c r="H24" s="30"/>
    </row>
    <row r="25" spans="2:8" s="18" customFormat="1" ht="18" customHeight="1" x14ac:dyDescent="0.3">
      <c r="B25" s="19">
        <f t="shared" si="0"/>
        <v>1.0900000000000001</v>
      </c>
      <c r="C25" s="20" t="s">
        <v>29</v>
      </c>
      <c r="D25" s="21">
        <v>11</v>
      </c>
      <c r="E25" s="21" t="s">
        <v>30</v>
      </c>
      <c r="F25" s="31"/>
      <c r="G25" s="23"/>
      <c r="H25" s="30"/>
    </row>
    <row r="26" spans="2:8" s="32" customFormat="1" ht="18" customHeight="1" x14ac:dyDescent="0.3">
      <c r="B26" s="33">
        <f t="shared" si="0"/>
        <v>1.1000000000000001</v>
      </c>
      <c r="C26" s="25" t="s">
        <v>31</v>
      </c>
      <c r="D26" s="26">
        <v>6.9</v>
      </c>
      <c r="E26" s="26" t="s">
        <v>25</v>
      </c>
      <c r="F26" s="31"/>
      <c r="G26" s="28"/>
      <c r="H26" s="29"/>
    </row>
    <row r="27" spans="2:8" s="18" customFormat="1" ht="18" customHeight="1" x14ac:dyDescent="0.3">
      <c r="B27" s="19">
        <f t="shared" si="0"/>
        <v>1.1100000000000001</v>
      </c>
      <c r="C27" s="25" t="s">
        <v>32</v>
      </c>
      <c r="D27" s="26">
        <v>1</v>
      </c>
      <c r="E27" s="21" t="s">
        <v>33</v>
      </c>
      <c r="F27" s="22"/>
      <c r="G27" s="23"/>
      <c r="H27" s="30"/>
    </row>
    <row r="28" spans="2:8" s="18" customFormat="1" ht="56.25" x14ac:dyDescent="0.3">
      <c r="B28" s="19">
        <f t="shared" si="0"/>
        <v>1.1200000000000001</v>
      </c>
      <c r="C28" s="25" t="s">
        <v>34</v>
      </c>
      <c r="D28" s="26">
        <v>1</v>
      </c>
      <c r="E28" s="26" t="s">
        <v>33</v>
      </c>
      <c r="F28" s="27"/>
      <c r="G28" s="28"/>
      <c r="H28" s="29"/>
    </row>
    <row r="29" spans="2:8" s="18" customFormat="1" ht="17.25" customHeight="1" x14ac:dyDescent="0.3">
      <c r="B29" s="19">
        <f t="shared" si="0"/>
        <v>1.1300000000000001</v>
      </c>
      <c r="C29" s="25" t="s">
        <v>35</v>
      </c>
      <c r="D29" s="26">
        <f>+((D18+D19+D17)*0.08+D24*0.1+D25*0.5*0.2+D21)*1.25</f>
        <v>166.18823000000003</v>
      </c>
      <c r="E29" s="26" t="s">
        <v>36</v>
      </c>
      <c r="F29" s="31"/>
      <c r="G29" s="23"/>
      <c r="H29" s="30"/>
    </row>
    <row r="30" spans="2:8" s="18" customFormat="1" ht="18" customHeight="1" thickBot="1" x14ac:dyDescent="0.35">
      <c r="B30" s="34"/>
      <c r="C30" s="35"/>
      <c r="D30" s="36"/>
      <c r="E30" s="36"/>
      <c r="F30" s="37"/>
      <c r="G30" s="38"/>
      <c r="H30" s="39"/>
    </row>
    <row r="31" spans="2:8" s="40" customFormat="1" ht="36" customHeight="1" thickBot="1" x14ac:dyDescent="0.3">
      <c r="B31" s="41">
        <v>2</v>
      </c>
      <c r="C31" s="42" t="s">
        <v>37</v>
      </c>
      <c r="D31" s="43"/>
      <c r="E31" s="43"/>
      <c r="F31" s="44"/>
      <c r="G31" s="44"/>
      <c r="H31" s="45"/>
    </row>
    <row r="32" spans="2:8" s="18" customFormat="1" ht="33.75" customHeight="1" x14ac:dyDescent="0.25">
      <c r="B32" s="46">
        <f>+B31+0.01</f>
        <v>2.0099999999999998</v>
      </c>
      <c r="C32" s="47" t="s">
        <v>38</v>
      </c>
      <c r="D32" s="46">
        <v>1.27</v>
      </c>
      <c r="E32" s="46" t="s">
        <v>25</v>
      </c>
      <c r="F32" s="48"/>
      <c r="G32" s="23"/>
      <c r="H32" s="49"/>
    </row>
    <row r="33" spans="2:10" s="18" customFormat="1" ht="40.5" customHeight="1" x14ac:dyDescent="0.25">
      <c r="B33" s="46">
        <f t="shared" ref="B33:B35" si="1">+B32+0.01</f>
        <v>2.0199999999999996</v>
      </c>
      <c r="C33" s="50" t="s">
        <v>39</v>
      </c>
      <c r="D33" s="46">
        <v>0.46</v>
      </c>
      <c r="E33" s="46" t="s">
        <v>25</v>
      </c>
      <c r="F33" s="48"/>
      <c r="G33" s="23"/>
      <c r="H33" s="51"/>
    </row>
    <row r="34" spans="2:10" s="32" customFormat="1" ht="36" customHeight="1" x14ac:dyDescent="0.25">
      <c r="B34" s="52">
        <f t="shared" si="1"/>
        <v>2.0299999999999994</v>
      </c>
      <c r="C34" s="53" t="s">
        <v>40</v>
      </c>
      <c r="D34" s="26">
        <v>0.86</v>
      </c>
      <c r="E34" s="52" t="s">
        <v>25</v>
      </c>
      <c r="F34" s="54"/>
      <c r="G34" s="28"/>
      <c r="H34" s="55"/>
    </row>
    <row r="35" spans="2:10" s="18" customFormat="1" ht="36" customHeight="1" x14ac:dyDescent="0.3">
      <c r="B35" s="46">
        <f t="shared" si="1"/>
        <v>2.0399999999999991</v>
      </c>
      <c r="C35" s="20" t="s">
        <v>41</v>
      </c>
      <c r="D35" s="21">
        <v>1.38</v>
      </c>
      <c r="E35" s="21" t="s">
        <v>25</v>
      </c>
      <c r="F35" s="48"/>
      <c r="G35" s="23"/>
      <c r="H35" s="51"/>
    </row>
    <row r="36" spans="2:10" s="18" customFormat="1" ht="18.75" customHeight="1" thickBot="1" x14ac:dyDescent="0.35">
      <c r="B36" s="56"/>
      <c r="C36" s="57"/>
      <c r="D36" s="56"/>
      <c r="E36" s="56"/>
      <c r="F36" s="58"/>
      <c r="G36" s="58"/>
      <c r="H36" s="51"/>
    </row>
    <row r="37" spans="2:10" s="18" customFormat="1" ht="36" customHeight="1" thickBot="1" x14ac:dyDescent="0.3">
      <c r="B37" s="41">
        <v>3</v>
      </c>
      <c r="C37" s="42" t="s">
        <v>42</v>
      </c>
      <c r="D37" s="43"/>
      <c r="E37" s="43"/>
      <c r="F37" s="44"/>
      <c r="G37" s="44"/>
      <c r="H37" s="45"/>
    </row>
    <row r="38" spans="2:10" s="18" customFormat="1" ht="21.75" customHeight="1" x14ac:dyDescent="0.3">
      <c r="B38" s="46">
        <f>+B37+0.01</f>
        <v>3.01</v>
      </c>
      <c r="C38" s="59" t="s">
        <v>43</v>
      </c>
      <c r="D38" s="46">
        <v>26.79</v>
      </c>
      <c r="E38" s="46" t="s">
        <v>19</v>
      </c>
      <c r="F38" s="48"/>
      <c r="G38" s="60"/>
      <c r="H38" s="49"/>
    </row>
    <row r="39" spans="2:10" s="18" customFormat="1" ht="17.25" customHeight="1" thickBot="1" x14ac:dyDescent="0.35">
      <c r="B39" s="61"/>
      <c r="C39" s="62" t="s">
        <v>44</v>
      </c>
      <c r="D39" s="61"/>
      <c r="E39" s="61"/>
      <c r="F39" s="63"/>
      <c r="G39" s="64"/>
      <c r="H39" s="51"/>
    </row>
    <row r="40" spans="2:10" s="65" customFormat="1" ht="26.25" customHeight="1" thickBot="1" x14ac:dyDescent="0.3">
      <c r="B40" s="41">
        <v>3</v>
      </c>
      <c r="C40" s="42" t="s">
        <v>45</v>
      </c>
      <c r="D40" s="43"/>
      <c r="E40" s="43"/>
      <c r="F40" s="44"/>
      <c r="G40" s="44"/>
      <c r="H40" s="66"/>
    </row>
    <row r="41" spans="2:10" s="18" customFormat="1" ht="21.75" customHeight="1" x14ac:dyDescent="0.3">
      <c r="B41" s="46">
        <f>+B40+0.01</f>
        <v>3.01</v>
      </c>
      <c r="C41" s="59" t="s">
        <v>46</v>
      </c>
      <c r="D41" s="46">
        <v>38.08</v>
      </c>
      <c r="E41" s="46" t="s">
        <v>19</v>
      </c>
      <c r="F41" s="48"/>
      <c r="G41" s="60"/>
      <c r="H41" s="49"/>
    </row>
    <row r="42" spans="2:10" s="18" customFormat="1" ht="21" customHeight="1" x14ac:dyDescent="0.3">
      <c r="B42" s="46">
        <f t="shared" ref="B42:B44" si="2">+B41+0.01</f>
        <v>3.0199999999999996</v>
      </c>
      <c r="C42" s="20" t="s">
        <v>47</v>
      </c>
      <c r="D42" s="21">
        <v>91.66</v>
      </c>
      <c r="E42" s="21" t="s">
        <v>19</v>
      </c>
      <c r="F42" s="48"/>
      <c r="G42" s="60"/>
      <c r="H42" s="51"/>
    </row>
    <row r="43" spans="2:10" s="18" customFormat="1" ht="19.5" customHeight="1" x14ac:dyDescent="0.3">
      <c r="B43" s="46">
        <f t="shared" si="2"/>
        <v>3.0299999999999994</v>
      </c>
      <c r="C43" s="20" t="s">
        <v>48</v>
      </c>
      <c r="D43" s="21">
        <v>76.319999999999993</v>
      </c>
      <c r="E43" s="21" t="s">
        <v>30</v>
      </c>
      <c r="F43" s="48"/>
      <c r="G43" s="60"/>
      <c r="H43" s="51"/>
    </row>
    <row r="44" spans="2:10" s="18" customFormat="1" ht="19.5" customHeight="1" x14ac:dyDescent="0.3">
      <c r="B44" s="46">
        <f t="shared" si="2"/>
        <v>3.0399999999999991</v>
      </c>
      <c r="C44" s="20" t="s">
        <v>49</v>
      </c>
      <c r="D44" s="21">
        <v>5.44</v>
      </c>
      <c r="E44" s="21" t="s">
        <v>30</v>
      </c>
      <c r="F44" s="48"/>
      <c r="G44" s="60"/>
      <c r="H44" s="51"/>
    </row>
    <row r="45" spans="2:10" s="18" customFormat="1" ht="16.5" customHeight="1" thickBot="1" x14ac:dyDescent="0.35">
      <c r="B45" s="56"/>
      <c r="C45" s="57"/>
      <c r="D45" s="56"/>
      <c r="E45" s="56"/>
      <c r="F45" s="58"/>
      <c r="G45" s="58"/>
      <c r="H45" s="67"/>
    </row>
    <row r="46" spans="2:10" s="18" customFormat="1" ht="18" customHeight="1" thickBot="1" x14ac:dyDescent="0.3">
      <c r="B46" s="14">
        <v>2</v>
      </c>
      <c r="C46" s="15" t="s">
        <v>50</v>
      </c>
      <c r="D46" s="16"/>
      <c r="E46" s="16"/>
      <c r="F46" s="16"/>
      <c r="G46" s="16"/>
      <c r="H46" s="17"/>
      <c r="J46" s="68">
        <f>+SUM(G41:G44)</f>
        <v>0</v>
      </c>
    </row>
    <row r="47" spans="2:10" s="18" customFormat="1" ht="37.5" x14ac:dyDescent="0.3">
      <c r="B47" s="19">
        <f>+B46+0.01</f>
        <v>2.0099999999999998</v>
      </c>
      <c r="C47" s="25" t="s">
        <v>51</v>
      </c>
      <c r="D47" s="26">
        <f>+(87.22+17.49+27.5+14.37+14.22+8.4)*3.42+(59.28+13.11+13.92+10.11+9.75+4.12)-(2*2.3+0.9*2.1*11+1*2.1*2+2*1.1*4+1.2*1.92*2+0.5*1.25+1*1.1*5)+(323.82)*4.33-(1*2.1*7+2*1.1*2+1*1.1+1.2*1.91*4+3*1.1*7+1*1.1*3+1.65*1.1+0.8*1.9*4)+388.46+((37.12+35.58)*3.42+99.98*4.33)-(2*1.1*6+1.2*1.92*6+0.5*1.25+1*1.1*9+3*1.1*7+1.65*1.1+0.8*1.9*4+1*2.1*7)-175.48</f>
        <v>2789.5919999999996</v>
      </c>
      <c r="E47" s="26" t="s">
        <v>19</v>
      </c>
      <c r="F47" s="31"/>
      <c r="G47" s="28"/>
      <c r="H47" s="69"/>
    </row>
    <row r="48" spans="2:10" s="18" customFormat="1" ht="18" customHeight="1" x14ac:dyDescent="0.3">
      <c r="B48" s="19">
        <f t="shared" ref="B48:B49" si="3">+B47+0.01</f>
        <v>2.0199999999999996</v>
      </c>
      <c r="C48" s="20" t="s">
        <v>52</v>
      </c>
      <c r="D48" s="21">
        <f>38.93*2.44*2+32.59*2.09*2+(5+2.99+20.56)*4*2+(59.93-1.82-15.48)*1.65*2</f>
        <v>695.28359999999998</v>
      </c>
      <c r="E48" s="21" t="s">
        <v>19</v>
      </c>
      <c r="F48" s="31"/>
      <c r="G48" s="23"/>
      <c r="H48" s="30"/>
    </row>
    <row r="49" spans="2:8" s="18" customFormat="1" ht="18" customHeight="1" x14ac:dyDescent="0.3">
      <c r="B49" s="19">
        <f t="shared" si="3"/>
        <v>2.0299999999999994</v>
      </c>
      <c r="C49" s="20" t="s">
        <v>53</v>
      </c>
      <c r="D49" s="21">
        <v>1</v>
      </c>
      <c r="E49" s="21" t="s">
        <v>33</v>
      </c>
      <c r="F49" s="31"/>
      <c r="G49" s="23"/>
      <c r="H49" s="30"/>
    </row>
    <row r="50" spans="2:8" s="18" customFormat="1" ht="37.5" x14ac:dyDescent="0.3">
      <c r="B50" s="21">
        <f>+B49+0.01</f>
        <v>2.0399999999999991</v>
      </c>
      <c r="C50" s="20" t="s">
        <v>54</v>
      </c>
      <c r="D50" s="21">
        <f>15.48*1.65*2+1.82*1.65*2+1*1.65*4</f>
        <v>63.69</v>
      </c>
      <c r="E50" s="21" t="s">
        <v>19</v>
      </c>
      <c r="F50" s="31"/>
      <c r="G50" s="23"/>
      <c r="H50" s="30"/>
    </row>
    <row r="51" spans="2:8" s="18" customFormat="1" ht="37.5" x14ac:dyDescent="0.3">
      <c r="B51" s="21">
        <f t="shared" ref="B51:B52" si="4">+B50+0.01</f>
        <v>2.0499999999999989</v>
      </c>
      <c r="C51" s="20" t="s">
        <v>55</v>
      </c>
      <c r="D51" s="21">
        <v>1</v>
      </c>
      <c r="E51" s="21" t="s">
        <v>56</v>
      </c>
      <c r="F51" s="31"/>
      <c r="G51" s="23"/>
      <c r="H51" s="70"/>
    </row>
    <row r="52" spans="2:8" s="18" customFormat="1" ht="18.75" x14ac:dyDescent="0.3">
      <c r="B52" s="21">
        <f t="shared" si="4"/>
        <v>2.0599999999999987</v>
      </c>
      <c r="C52" s="20" t="s">
        <v>57</v>
      </c>
      <c r="D52" s="21">
        <v>81.38</v>
      </c>
      <c r="E52" s="21" t="s">
        <v>19</v>
      </c>
      <c r="F52" s="31"/>
      <c r="G52" s="23"/>
      <c r="H52" s="70"/>
    </row>
    <row r="53" spans="2:8" s="18" customFormat="1" ht="18" customHeight="1" thickBot="1" x14ac:dyDescent="0.35">
      <c r="B53" s="34"/>
      <c r="C53" s="35"/>
      <c r="D53" s="36"/>
      <c r="E53" s="36"/>
      <c r="F53" s="37"/>
      <c r="G53" s="71"/>
      <c r="H53" s="39"/>
    </row>
    <row r="54" spans="2:8" s="18" customFormat="1" ht="18" customHeight="1" thickBot="1" x14ac:dyDescent="0.3">
      <c r="B54" s="14">
        <v>3</v>
      </c>
      <c r="C54" s="15" t="s">
        <v>58</v>
      </c>
      <c r="D54" s="16"/>
      <c r="E54" s="16"/>
      <c r="F54" s="16"/>
      <c r="G54" s="16"/>
      <c r="H54" s="17"/>
    </row>
    <row r="55" spans="2:8" s="18" customFormat="1" ht="18" customHeight="1" x14ac:dyDescent="0.3">
      <c r="B55" s="19">
        <f>+B54+0.01</f>
        <v>3.01</v>
      </c>
      <c r="C55" s="20" t="s">
        <v>59</v>
      </c>
      <c r="D55" s="26">
        <v>435.36</v>
      </c>
      <c r="E55" s="21" t="s">
        <v>19</v>
      </c>
      <c r="F55" s="22"/>
      <c r="G55" s="23"/>
      <c r="H55" s="24"/>
    </row>
    <row r="56" spans="2:8" s="18" customFormat="1" ht="18" customHeight="1" x14ac:dyDescent="0.3">
      <c r="B56" s="19">
        <f>+B55+0.01</f>
        <v>3.0199999999999996</v>
      </c>
      <c r="C56" s="20" t="s">
        <v>60</v>
      </c>
      <c r="D56" s="72">
        <v>1.38</v>
      </c>
      <c r="E56" s="73" t="s">
        <v>19</v>
      </c>
      <c r="F56" s="22"/>
      <c r="G56" s="23"/>
      <c r="H56" s="74"/>
    </row>
    <row r="57" spans="2:8" s="18" customFormat="1" ht="18" customHeight="1" thickBot="1" x14ac:dyDescent="0.35">
      <c r="B57" s="34"/>
      <c r="C57" s="35"/>
      <c r="D57" s="36"/>
      <c r="E57" s="36"/>
      <c r="F57" s="37"/>
      <c r="G57" s="38"/>
      <c r="H57" s="39"/>
    </row>
    <row r="58" spans="2:8" s="18" customFormat="1" ht="18" customHeight="1" thickBot="1" x14ac:dyDescent="0.3">
      <c r="B58" s="14">
        <v>4</v>
      </c>
      <c r="C58" s="15" t="s">
        <v>61</v>
      </c>
      <c r="D58" s="16"/>
      <c r="E58" s="16"/>
      <c r="F58" s="16"/>
      <c r="G58" s="16"/>
      <c r="H58" s="17"/>
    </row>
    <row r="59" spans="2:8" s="18" customFormat="1" ht="18" customHeight="1" x14ac:dyDescent="0.3">
      <c r="B59" s="19">
        <f t="shared" ref="B59:B67" si="5">+B58+0.01</f>
        <v>4.01</v>
      </c>
      <c r="C59" s="20" t="s">
        <v>62</v>
      </c>
      <c r="D59" s="21">
        <f>59.276+13.11+13.92+10.11+9.75+4.12+388.46</f>
        <v>498.74599999999998</v>
      </c>
      <c r="E59" s="21" t="s">
        <v>19</v>
      </c>
      <c r="F59" s="75"/>
      <c r="G59" s="23"/>
      <c r="H59" s="24"/>
    </row>
    <row r="60" spans="2:8" s="18" customFormat="1" ht="18" customHeight="1" x14ac:dyDescent="0.3">
      <c r="B60" s="19">
        <f t="shared" si="5"/>
        <v>4.0199999999999996</v>
      </c>
      <c r="C60" s="20" t="s">
        <v>63</v>
      </c>
      <c r="D60" s="21">
        <f>(7.95+7.84)*2</f>
        <v>31.58</v>
      </c>
      <c r="E60" s="21" t="s">
        <v>19</v>
      </c>
      <c r="F60" s="75"/>
      <c r="G60" s="23"/>
      <c r="H60" s="30"/>
    </row>
    <row r="61" spans="2:8" s="18" customFormat="1" ht="18" customHeight="1" x14ac:dyDescent="0.3">
      <c r="B61" s="19">
        <f t="shared" si="5"/>
        <v>4.0299999999999994</v>
      </c>
      <c r="C61" s="20" t="s">
        <v>64</v>
      </c>
      <c r="D61" s="21">
        <v>175.48</v>
      </c>
      <c r="E61" s="21" t="s">
        <v>19</v>
      </c>
      <c r="F61" s="75"/>
      <c r="G61" s="23"/>
      <c r="H61" s="30"/>
    </row>
    <row r="62" spans="2:8" s="18" customFormat="1" ht="18" customHeight="1" x14ac:dyDescent="0.3">
      <c r="B62" s="19">
        <f t="shared" si="5"/>
        <v>4.0399999999999991</v>
      </c>
      <c r="C62" s="25" t="s">
        <v>65</v>
      </c>
      <c r="D62" s="26">
        <f>3.31+3+4.95+20.62+16.84+7.5+7.53</f>
        <v>63.75</v>
      </c>
      <c r="E62" s="26" t="s">
        <v>19</v>
      </c>
      <c r="F62" s="27"/>
      <c r="G62" s="28"/>
      <c r="H62" s="29"/>
    </row>
    <row r="63" spans="2:8" s="18" customFormat="1" ht="37.5" x14ac:dyDescent="0.3">
      <c r="B63" s="19">
        <f t="shared" si="5"/>
        <v>4.0499999999999989</v>
      </c>
      <c r="C63" s="25" t="s">
        <v>66</v>
      </c>
      <c r="D63" s="26">
        <v>20</v>
      </c>
      <c r="E63" s="26" t="s">
        <v>19</v>
      </c>
      <c r="F63" s="27"/>
      <c r="G63" s="28"/>
      <c r="H63" s="29"/>
    </row>
    <row r="64" spans="2:8" s="18" customFormat="1" ht="37.5" x14ac:dyDescent="0.3">
      <c r="B64" s="19">
        <f t="shared" si="5"/>
        <v>4.0599999999999987</v>
      </c>
      <c r="C64" s="20" t="s">
        <v>67</v>
      </c>
      <c r="D64" s="21">
        <f>+(7.85+8+11.66+36.17+15.82+20.8+16.85)*1.8*0.35</f>
        <v>73.80449999999999</v>
      </c>
      <c r="E64" s="21" t="s">
        <v>19</v>
      </c>
      <c r="F64" s="31"/>
      <c r="G64" s="23"/>
      <c r="H64" s="30"/>
    </row>
    <row r="65" spans="2:12" s="18" customFormat="1" ht="18" customHeight="1" x14ac:dyDescent="0.3">
      <c r="B65" s="19">
        <f t="shared" si="5"/>
        <v>4.0699999999999985</v>
      </c>
      <c r="C65" s="20" t="s">
        <v>68</v>
      </c>
      <c r="D65" s="21">
        <f>1.12*12</f>
        <v>13.440000000000001</v>
      </c>
      <c r="E65" s="21" t="s">
        <v>30</v>
      </c>
      <c r="F65" s="22"/>
      <c r="G65" s="23"/>
      <c r="H65" s="30"/>
    </row>
    <row r="66" spans="2:12" s="18" customFormat="1" ht="18" customHeight="1" x14ac:dyDescent="0.3">
      <c r="B66" s="19">
        <f t="shared" si="5"/>
        <v>4.0799999999999983</v>
      </c>
      <c r="C66" s="20" t="s">
        <v>69</v>
      </c>
      <c r="D66" s="21">
        <f>+D59*0.2</f>
        <v>99.749200000000002</v>
      </c>
      <c r="E66" s="21" t="s">
        <v>19</v>
      </c>
      <c r="F66" s="22"/>
      <c r="G66" s="23"/>
      <c r="H66" s="30"/>
    </row>
    <row r="67" spans="2:12" s="18" customFormat="1" ht="18" customHeight="1" x14ac:dyDescent="0.3">
      <c r="B67" s="19">
        <f t="shared" si="5"/>
        <v>4.0899999999999981</v>
      </c>
      <c r="C67" s="20" t="s">
        <v>70</v>
      </c>
      <c r="D67" s="21">
        <f>+(87.22+17.49+27.5+14.37+14.22+8.4+323.82-7.85-8-11.66-36.17-15.82-20.8-16.85)*0.35</f>
        <v>131.55449999999996</v>
      </c>
      <c r="E67" s="21" t="s">
        <v>30</v>
      </c>
      <c r="F67" s="31"/>
      <c r="G67" s="23"/>
      <c r="H67" s="30"/>
      <c r="K67" s="68">
        <f>+SUM(G59:G67)</f>
        <v>0</v>
      </c>
    </row>
    <row r="68" spans="2:12" s="18" customFormat="1" ht="18" customHeight="1" thickBot="1" x14ac:dyDescent="0.35">
      <c r="B68" s="34"/>
      <c r="C68" s="35"/>
      <c r="D68" s="36"/>
      <c r="E68" s="36"/>
      <c r="F68" s="37"/>
      <c r="G68" s="38"/>
      <c r="H68" s="39"/>
    </row>
    <row r="69" spans="2:12" s="18" customFormat="1" ht="18" customHeight="1" thickBot="1" x14ac:dyDescent="0.3">
      <c r="B69" s="14">
        <v>5</v>
      </c>
      <c r="C69" s="15" t="s">
        <v>71</v>
      </c>
      <c r="D69" s="16"/>
      <c r="E69" s="16"/>
      <c r="F69" s="16"/>
      <c r="G69" s="16"/>
      <c r="H69" s="17"/>
    </row>
    <row r="70" spans="2:12" s="18" customFormat="1" ht="75" x14ac:dyDescent="0.3">
      <c r="B70" s="19">
        <f>+B69+0.01</f>
        <v>5.01</v>
      </c>
      <c r="C70" s="25" t="s">
        <v>72</v>
      </c>
      <c r="D70" s="21">
        <f>+(6*2*1.1+6*1.2*1.92+1*0.5*1.25+9*1*1.1+7*3*1.1)*10.76</f>
        <v>652.58324000000005</v>
      </c>
      <c r="E70" s="21" t="s">
        <v>73</v>
      </c>
      <c r="F70" s="76"/>
      <c r="G70" s="23"/>
      <c r="H70" s="24"/>
    </row>
    <row r="71" spans="2:12" s="18" customFormat="1" ht="22.5" customHeight="1" x14ac:dyDescent="0.3">
      <c r="B71" s="19">
        <f>+B70+0.01</f>
        <v>5.0199999999999996</v>
      </c>
      <c r="C71" s="25" t="s">
        <v>74</v>
      </c>
      <c r="D71" s="21">
        <f>2+10+2+7</f>
        <v>21</v>
      </c>
      <c r="E71" s="21" t="s">
        <v>23</v>
      </c>
      <c r="F71" s="22"/>
      <c r="G71" s="23"/>
      <c r="H71" s="30"/>
    </row>
    <row r="72" spans="2:12" s="18" customFormat="1" ht="37.5" x14ac:dyDescent="0.3">
      <c r="B72" s="19">
        <f t="shared" ref="B72:B74" si="6">+B71+0.01</f>
        <v>5.0299999999999994</v>
      </c>
      <c r="C72" s="20" t="s">
        <v>75</v>
      </c>
      <c r="D72" s="21">
        <f>3.28*3.28</f>
        <v>10.758399999999998</v>
      </c>
      <c r="E72" s="21" t="s">
        <v>76</v>
      </c>
      <c r="F72" s="22"/>
      <c r="G72" s="23"/>
      <c r="H72" s="29"/>
      <c r="I72" s="32">
        <f>+'[1]MATERIALES E INSUMOS'!$D$1475</f>
        <v>4345</v>
      </c>
      <c r="J72" s="68">
        <f>+I72-F72</f>
        <v>4345</v>
      </c>
    </row>
    <row r="73" spans="2:12" s="18" customFormat="1" ht="37.5" x14ac:dyDescent="0.25">
      <c r="B73" s="19">
        <f t="shared" si="6"/>
        <v>5.0399999999999991</v>
      </c>
      <c r="C73" s="77" t="s">
        <v>77</v>
      </c>
      <c r="D73" s="21">
        <f>(4.07*3.28)</f>
        <v>13.349600000000001</v>
      </c>
      <c r="E73" s="21" t="s">
        <v>76</v>
      </c>
      <c r="F73" s="22"/>
      <c r="G73" s="23"/>
      <c r="H73" s="29"/>
      <c r="I73" s="32">
        <f>1*2</f>
        <v>2</v>
      </c>
      <c r="J73" s="18">
        <f>3950/(2*1)</f>
        <v>1975</v>
      </c>
      <c r="L73" s="68">
        <f>+SUM(G70:G74)</f>
        <v>0</v>
      </c>
    </row>
    <row r="74" spans="2:12" s="18" customFormat="1" ht="18" customHeight="1" x14ac:dyDescent="0.3">
      <c r="B74" s="19">
        <f t="shared" si="6"/>
        <v>5.0499999999999989</v>
      </c>
      <c r="C74" s="20" t="s">
        <v>78</v>
      </c>
      <c r="D74" s="21">
        <f>(2+2.68)*0.6</f>
        <v>2.8079999999999998</v>
      </c>
      <c r="E74" s="21" t="s">
        <v>19</v>
      </c>
      <c r="F74" s="76"/>
      <c r="G74" s="23"/>
      <c r="H74" s="29"/>
      <c r="I74" s="32"/>
    </row>
    <row r="75" spans="2:12" s="18" customFormat="1" ht="18" customHeight="1" thickBot="1" x14ac:dyDescent="0.35">
      <c r="B75" s="34"/>
      <c r="C75" s="35"/>
      <c r="D75" s="36"/>
      <c r="E75" s="36"/>
      <c r="F75" s="37"/>
      <c r="G75" s="38"/>
      <c r="H75" s="39"/>
    </row>
    <row r="76" spans="2:12" s="18" customFormat="1" ht="18" customHeight="1" thickBot="1" x14ac:dyDescent="0.3">
      <c r="B76" s="14">
        <v>6</v>
      </c>
      <c r="C76" s="15" t="s">
        <v>79</v>
      </c>
      <c r="D76" s="16"/>
      <c r="E76" s="16"/>
      <c r="F76" s="16"/>
      <c r="G76" s="16"/>
      <c r="H76" s="17"/>
    </row>
    <row r="77" spans="2:12" s="18" customFormat="1" ht="18.75" x14ac:dyDescent="0.3">
      <c r="B77" s="19">
        <f>+B76+0.01</f>
        <v>6.01</v>
      </c>
      <c r="C77" s="20" t="s">
        <v>80</v>
      </c>
      <c r="D77" s="21">
        <f>5+3+4</f>
        <v>12</v>
      </c>
      <c r="E77" s="21" t="s">
        <v>23</v>
      </c>
      <c r="F77" s="31"/>
      <c r="G77" s="23"/>
      <c r="H77" s="24"/>
    </row>
    <row r="78" spans="2:12" s="18" customFormat="1" ht="18.75" x14ac:dyDescent="0.3">
      <c r="B78" s="19">
        <f t="shared" ref="B78:B84" si="7">+B77+0.01</f>
        <v>6.02</v>
      </c>
      <c r="C78" s="20" t="s">
        <v>81</v>
      </c>
      <c r="D78" s="21">
        <v>3</v>
      </c>
      <c r="E78" s="21" t="s">
        <v>23</v>
      </c>
      <c r="F78" s="31"/>
      <c r="G78" s="23"/>
      <c r="H78" s="30"/>
    </row>
    <row r="79" spans="2:12" s="18" customFormat="1" ht="21.75" customHeight="1" x14ac:dyDescent="0.3">
      <c r="B79" s="19">
        <f t="shared" si="7"/>
        <v>6.0299999999999994</v>
      </c>
      <c r="C79" s="20" t="s">
        <v>82</v>
      </c>
      <c r="D79" s="21">
        <v>6</v>
      </c>
      <c r="E79" s="21" t="s">
        <v>23</v>
      </c>
      <c r="F79" s="31"/>
      <c r="G79" s="23"/>
      <c r="H79" s="30"/>
    </row>
    <row r="80" spans="2:12" s="18" customFormat="1" ht="37.5" x14ac:dyDescent="0.3">
      <c r="B80" s="19">
        <f t="shared" si="7"/>
        <v>6.0399999999999991</v>
      </c>
      <c r="C80" s="20" t="s">
        <v>83</v>
      </c>
      <c r="D80" s="21">
        <v>1</v>
      </c>
      <c r="E80" s="21" t="s">
        <v>23</v>
      </c>
      <c r="F80" s="31"/>
      <c r="G80" s="23"/>
      <c r="H80" s="30"/>
    </row>
    <row r="81" spans="2:11" s="18" customFormat="1" ht="18.75" x14ac:dyDescent="0.3">
      <c r="B81" s="19">
        <f t="shared" si="7"/>
        <v>6.0499999999999989</v>
      </c>
      <c r="C81" s="20" t="s">
        <v>84</v>
      </c>
      <c r="D81" s="21">
        <v>7</v>
      </c>
      <c r="E81" s="21" t="s">
        <v>23</v>
      </c>
      <c r="F81" s="22"/>
      <c r="G81" s="23"/>
      <c r="H81" s="30"/>
    </row>
    <row r="82" spans="2:11" s="18" customFormat="1" ht="37.5" x14ac:dyDescent="0.3">
      <c r="B82" s="19">
        <f t="shared" si="7"/>
        <v>6.0599999999999987</v>
      </c>
      <c r="C82" s="20" t="s">
        <v>85</v>
      </c>
      <c r="D82" s="21">
        <v>120</v>
      </c>
      <c r="E82" s="21" t="s">
        <v>76</v>
      </c>
      <c r="F82" s="22"/>
      <c r="G82" s="23"/>
      <c r="H82" s="30"/>
    </row>
    <row r="83" spans="2:11" s="18" customFormat="1" ht="37.5" x14ac:dyDescent="0.3">
      <c r="B83" s="19">
        <f t="shared" si="7"/>
        <v>6.0699999999999985</v>
      </c>
      <c r="C83" s="20" t="s">
        <v>86</v>
      </c>
      <c r="D83" s="21">
        <v>1</v>
      </c>
      <c r="E83" s="21" t="s">
        <v>23</v>
      </c>
      <c r="F83" s="75"/>
      <c r="G83" s="23"/>
      <c r="H83" s="30"/>
    </row>
    <row r="84" spans="2:11" s="18" customFormat="1" ht="18.75" x14ac:dyDescent="0.3">
      <c r="B84" s="19">
        <f t="shared" si="7"/>
        <v>6.0799999999999983</v>
      </c>
      <c r="C84" s="20" t="s">
        <v>87</v>
      </c>
      <c r="D84" s="21">
        <v>1</v>
      </c>
      <c r="E84" s="21" t="s">
        <v>23</v>
      </c>
      <c r="F84" s="22"/>
      <c r="G84" s="23"/>
      <c r="H84" s="30"/>
    </row>
    <row r="85" spans="2:11" s="18" customFormat="1" ht="18.75" x14ac:dyDescent="0.3">
      <c r="B85" s="19">
        <f>+B84+0.01</f>
        <v>6.0899999999999981</v>
      </c>
      <c r="C85" s="20" t="s">
        <v>88</v>
      </c>
      <c r="D85" s="21">
        <v>2</v>
      </c>
      <c r="E85" s="21" t="s">
        <v>23</v>
      </c>
      <c r="F85" s="31"/>
      <c r="G85" s="23"/>
      <c r="H85" s="30"/>
      <c r="K85" s="68">
        <f>+SUM(G77:G85)</f>
        <v>0</v>
      </c>
    </row>
    <row r="86" spans="2:11" s="18" customFormat="1" ht="18" customHeight="1" thickBot="1" x14ac:dyDescent="0.35">
      <c r="B86" s="34"/>
      <c r="C86" s="35"/>
      <c r="D86" s="36"/>
      <c r="E86" s="36"/>
      <c r="F86" s="37"/>
      <c r="G86" s="38"/>
      <c r="H86" s="39"/>
    </row>
    <row r="87" spans="2:11" s="18" customFormat="1" ht="18" customHeight="1" thickBot="1" x14ac:dyDescent="0.3">
      <c r="B87" s="14">
        <v>7</v>
      </c>
      <c r="C87" s="15" t="s">
        <v>89</v>
      </c>
      <c r="D87" s="16"/>
      <c r="E87" s="16"/>
      <c r="F87" s="16"/>
      <c r="G87" s="16"/>
      <c r="H87" s="17"/>
    </row>
    <row r="88" spans="2:11" s="18" customFormat="1" ht="22.5" customHeight="1" x14ac:dyDescent="0.3">
      <c r="B88" s="19">
        <f>+B87+0.01</f>
        <v>7.01</v>
      </c>
      <c r="C88" s="20" t="s">
        <v>90</v>
      </c>
      <c r="D88" s="21">
        <v>4</v>
      </c>
      <c r="E88" s="21" t="s">
        <v>23</v>
      </c>
      <c r="F88" s="76"/>
      <c r="G88" s="23"/>
      <c r="H88" s="24"/>
    </row>
    <row r="89" spans="2:11" s="18" customFormat="1" ht="22.5" customHeight="1" x14ac:dyDescent="0.3">
      <c r="B89" s="19"/>
      <c r="C89" s="20"/>
      <c r="D89" s="21"/>
      <c r="E89" s="21"/>
      <c r="F89" s="76"/>
      <c r="G89" s="23"/>
      <c r="H89" s="78"/>
    </row>
    <row r="90" spans="2:11" s="18" customFormat="1" ht="56.25" x14ac:dyDescent="0.3">
      <c r="B90" s="19">
        <f>+B88+0.01</f>
        <v>7.02</v>
      </c>
      <c r="C90" s="20" t="s">
        <v>91</v>
      </c>
      <c r="D90" s="21">
        <v>2</v>
      </c>
      <c r="E90" s="21" t="s">
        <v>23</v>
      </c>
      <c r="F90" s="76"/>
      <c r="G90" s="23"/>
      <c r="H90" s="30"/>
    </row>
    <row r="91" spans="2:11" s="18" customFormat="1" ht="18" customHeight="1" x14ac:dyDescent="0.3">
      <c r="B91" s="19">
        <f t="shared" ref="B91:B111" si="8">+B90+0.01</f>
        <v>7.0299999999999994</v>
      </c>
      <c r="C91" s="20" t="s">
        <v>92</v>
      </c>
      <c r="D91" s="21">
        <v>1</v>
      </c>
      <c r="E91" s="21" t="s">
        <v>23</v>
      </c>
      <c r="F91" s="22"/>
      <c r="G91" s="23"/>
      <c r="H91" s="30"/>
    </row>
    <row r="92" spans="2:11" s="18" customFormat="1" ht="18" customHeight="1" x14ac:dyDescent="0.3">
      <c r="B92" s="19">
        <f t="shared" si="8"/>
        <v>7.0399999999999991</v>
      </c>
      <c r="C92" s="20" t="s">
        <v>93</v>
      </c>
      <c r="D92" s="21">
        <v>3</v>
      </c>
      <c r="E92" s="21" t="s">
        <v>23</v>
      </c>
      <c r="F92" s="76"/>
      <c r="G92" s="23"/>
      <c r="H92" s="30"/>
    </row>
    <row r="93" spans="2:11" s="18" customFormat="1" ht="18" customHeight="1" x14ac:dyDescent="0.3">
      <c r="B93" s="19">
        <f t="shared" si="8"/>
        <v>7.0499999999999989</v>
      </c>
      <c r="C93" s="20" t="s">
        <v>94</v>
      </c>
      <c r="D93" s="21">
        <v>1</v>
      </c>
      <c r="E93" s="21" t="s">
        <v>23</v>
      </c>
      <c r="F93" s="22"/>
      <c r="G93" s="23"/>
      <c r="H93" s="30"/>
    </row>
    <row r="94" spans="2:11" s="18" customFormat="1" ht="18" customHeight="1" x14ac:dyDescent="0.3">
      <c r="B94" s="19">
        <f t="shared" si="8"/>
        <v>7.0599999999999987</v>
      </c>
      <c r="C94" s="20" t="s">
        <v>95</v>
      </c>
      <c r="D94" s="21">
        <v>1</v>
      </c>
      <c r="E94" s="21" t="s">
        <v>23</v>
      </c>
      <c r="F94" s="22"/>
      <c r="G94" s="23"/>
      <c r="H94" s="30"/>
    </row>
    <row r="95" spans="2:11" s="18" customFormat="1" ht="18" customHeight="1" x14ac:dyDescent="0.3">
      <c r="B95" s="19">
        <f t="shared" si="8"/>
        <v>7.0699999999999985</v>
      </c>
      <c r="C95" s="20" t="s">
        <v>96</v>
      </c>
      <c r="D95" s="21">
        <v>15</v>
      </c>
      <c r="E95" s="21" t="s">
        <v>23</v>
      </c>
      <c r="F95" s="76"/>
      <c r="G95" s="23"/>
      <c r="H95" s="30"/>
    </row>
    <row r="96" spans="2:11" s="18" customFormat="1" ht="21" customHeight="1" x14ac:dyDescent="0.3">
      <c r="B96" s="19">
        <f t="shared" si="8"/>
        <v>7.0799999999999983</v>
      </c>
      <c r="C96" s="20" t="s">
        <v>97</v>
      </c>
      <c r="D96" s="21">
        <v>20</v>
      </c>
      <c r="E96" s="21" t="s">
        <v>23</v>
      </c>
      <c r="F96" s="76"/>
      <c r="G96" s="23"/>
      <c r="H96" s="30"/>
    </row>
    <row r="97" spans="2:10" s="18" customFormat="1" ht="21" customHeight="1" x14ac:dyDescent="0.3">
      <c r="B97" s="19">
        <f t="shared" si="8"/>
        <v>7.0899999999999981</v>
      </c>
      <c r="C97" s="25" t="s">
        <v>98</v>
      </c>
      <c r="D97" s="21">
        <v>15</v>
      </c>
      <c r="E97" s="21" t="s">
        <v>23</v>
      </c>
      <c r="F97" s="76"/>
      <c r="G97" s="23"/>
      <c r="H97" s="30"/>
    </row>
    <row r="98" spans="2:10" s="18" customFormat="1" ht="18" customHeight="1" x14ac:dyDescent="0.3">
      <c r="B98" s="19">
        <f t="shared" si="8"/>
        <v>7.0999999999999979</v>
      </c>
      <c r="C98" s="25" t="s">
        <v>99</v>
      </c>
      <c r="D98" s="21">
        <v>5</v>
      </c>
      <c r="E98" s="21" t="s">
        <v>23</v>
      </c>
      <c r="F98" s="76"/>
      <c r="G98" s="23"/>
      <c r="H98" s="30"/>
    </row>
    <row r="99" spans="2:10" s="18" customFormat="1" ht="18" customHeight="1" x14ac:dyDescent="0.3">
      <c r="B99" s="19">
        <f t="shared" si="8"/>
        <v>7.1099999999999977</v>
      </c>
      <c r="C99" s="25" t="s">
        <v>100</v>
      </c>
      <c r="D99" s="21">
        <v>45</v>
      </c>
      <c r="E99" s="21" t="s">
        <v>23</v>
      </c>
      <c r="F99" s="76"/>
      <c r="G99" s="23"/>
      <c r="H99" s="30"/>
    </row>
    <row r="100" spans="2:10" s="18" customFormat="1" ht="18" customHeight="1" x14ac:dyDescent="0.3">
      <c r="B100" s="19">
        <f t="shared" si="8"/>
        <v>7.1199999999999974</v>
      </c>
      <c r="C100" s="25" t="s">
        <v>101</v>
      </c>
      <c r="D100" s="21">
        <v>2</v>
      </c>
      <c r="E100" s="21" t="s">
        <v>23</v>
      </c>
      <c r="F100" s="22"/>
      <c r="G100" s="23"/>
      <c r="H100" s="30"/>
    </row>
    <row r="101" spans="2:10" s="18" customFormat="1" ht="18" customHeight="1" x14ac:dyDescent="0.3">
      <c r="B101" s="19">
        <f t="shared" si="8"/>
        <v>7.1299999999999972</v>
      </c>
      <c r="C101" s="20" t="s">
        <v>102</v>
      </c>
      <c r="D101" s="21">
        <v>4</v>
      </c>
      <c r="E101" s="21" t="s">
        <v>23</v>
      </c>
      <c r="F101" s="76"/>
      <c r="G101" s="23"/>
      <c r="H101" s="30"/>
    </row>
    <row r="102" spans="2:10" s="18" customFormat="1" ht="18" customHeight="1" x14ac:dyDescent="0.3">
      <c r="B102" s="19">
        <f t="shared" si="8"/>
        <v>7.139999999999997</v>
      </c>
      <c r="C102" s="25" t="s">
        <v>103</v>
      </c>
      <c r="D102" s="21">
        <v>30</v>
      </c>
      <c r="E102" s="21" t="s">
        <v>23</v>
      </c>
      <c r="F102" s="76"/>
      <c r="G102" s="23"/>
      <c r="H102" s="30"/>
      <c r="J102" s="68">
        <f>+SUM(G88:G111)</f>
        <v>0</v>
      </c>
    </row>
    <row r="103" spans="2:10" s="18" customFormat="1" ht="18" customHeight="1" x14ac:dyDescent="0.3">
      <c r="B103" s="19">
        <f t="shared" si="8"/>
        <v>7.1499999999999968</v>
      </c>
      <c r="C103" s="20" t="s">
        <v>104</v>
      </c>
      <c r="D103" s="21">
        <v>1</v>
      </c>
      <c r="E103" s="21" t="s">
        <v>23</v>
      </c>
      <c r="F103" s="22"/>
      <c r="G103" s="23"/>
      <c r="H103" s="30"/>
    </row>
    <row r="104" spans="2:10" s="18" customFormat="1" ht="18" customHeight="1" x14ac:dyDescent="0.3">
      <c r="B104" s="19">
        <f t="shared" si="8"/>
        <v>7.1599999999999966</v>
      </c>
      <c r="C104" s="25" t="s">
        <v>105</v>
      </c>
      <c r="D104" s="21">
        <v>30</v>
      </c>
      <c r="E104" s="21" t="s">
        <v>23</v>
      </c>
      <c r="F104" s="76"/>
      <c r="G104" s="23"/>
      <c r="H104" s="30"/>
    </row>
    <row r="105" spans="2:10" s="18" customFormat="1" ht="18" customHeight="1" x14ac:dyDescent="0.3">
      <c r="B105" s="19">
        <f t="shared" si="8"/>
        <v>7.1699999999999964</v>
      </c>
      <c r="C105" s="20" t="s">
        <v>106</v>
      </c>
      <c r="D105" s="21">
        <v>4</v>
      </c>
      <c r="E105" s="21" t="s">
        <v>23</v>
      </c>
      <c r="F105" s="22"/>
      <c r="G105" s="23"/>
      <c r="H105" s="30"/>
    </row>
    <row r="106" spans="2:10" s="18" customFormat="1" ht="21" customHeight="1" x14ac:dyDescent="0.3">
      <c r="B106" s="19">
        <f t="shared" si="8"/>
        <v>7.1799999999999962</v>
      </c>
      <c r="C106" s="25" t="s">
        <v>107</v>
      </c>
      <c r="D106" s="21">
        <v>60</v>
      </c>
      <c r="E106" s="21" t="s">
        <v>108</v>
      </c>
      <c r="F106" s="76"/>
      <c r="G106" s="23"/>
      <c r="H106" s="30"/>
    </row>
    <row r="107" spans="2:10" s="18" customFormat="1" ht="39.75" customHeight="1" x14ac:dyDescent="0.3">
      <c r="B107" s="19">
        <f t="shared" si="8"/>
        <v>7.1899999999999959</v>
      </c>
      <c r="C107" s="20" t="s">
        <v>109</v>
      </c>
      <c r="D107" s="21">
        <v>1</v>
      </c>
      <c r="E107" s="21" t="s">
        <v>110</v>
      </c>
      <c r="F107" s="22"/>
      <c r="G107" s="23"/>
      <c r="H107" s="30"/>
    </row>
    <row r="108" spans="2:10" s="18" customFormat="1" ht="18" customHeight="1" x14ac:dyDescent="0.3">
      <c r="B108" s="19">
        <f t="shared" si="8"/>
        <v>7.1999999999999957</v>
      </c>
      <c r="C108" s="25" t="s">
        <v>111</v>
      </c>
      <c r="D108" s="21">
        <v>30</v>
      </c>
      <c r="E108" s="21" t="s">
        <v>112</v>
      </c>
      <c r="F108" s="22"/>
      <c r="G108" s="23"/>
      <c r="H108" s="30"/>
    </row>
    <row r="109" spans="2:10" s="18" customFormat="1" ht="18" customHeight="1" x14ac:dyDescent="0.3">
      <c r="B109" s="19">
        <f t="shared" si="8"/>
        <v>7.2099999999999955</v>
      </c>
      <c r="C109" s="20" t="s">
        <v>113</v>
      </c>
      <c r="D109" s="21">
        <v>4</v>
      </c>
      <c r="E109" s="21" t="s">
        <v>23</v>
      </c>
      <c r="F109" s="76"/>
      <c r="G109" s="23"/>
      <c r="H109" s="30"/>
    </row>
    <row r="110" spans="2:10" s="18" customFormat="1" ht="42" customHeight="1" x14ac:dyDescent="0.3">
      <c r="B110" s="19">
        <f t="shared" si="8"/>
        <v>7.2199999999999953</v>
      </c>
      <c r="C110" s="25" t="s">
        <v>114</v>
      </c>
      <c r="D110" s="21">
        <v>4</v>
      </c>
      <c r="E110" s="21" t="s">
        <v>23</v>
      </c>
      <c r="F110" s="22"/>
      <c r="G110" s="23"/>
      <c r="H110" s="30"/>
    </row>
    <row r="111" spans="2:10" s="18" customFormat="1" ht="42" customHeight="1" x14ac:dyDescent="0.3">
      <c r="B111" s="19">
        <f t="shared" si="8"/>
        <v>7.2299999999999951</v>
      </c>
      <c r="C111" s="25" t="s">
        <v>115</v>
      </c>
      <c r="D111" s="21">
        <v>5</v>
      </c>
      <c r="E111" s="21" t="s">
        <v>23</v>
      </c>
      <c r="F111" s="22"/>
      <c r="G111" s="23"/>
      <c r="H111" s="70"/>
    </row>
    <row r="112" spans="2:10" s="18" customFormat="1" ht="18" customHeight="1" thickBot="1" x14ac:dyDescent="0.35">
      <c r="B112" s="34"/>
      <c r="C112" s="35"/>
      <c r="D112" s="36"/>
      <c r="E112" s="36"/>
      <c r="F112" s="37"/>
      <c r="G112" s="38"/>
      <c r="H112" s="39"/>
    </row>
    <row r="113" spans="2:11" s="18" customFormat="1" ht="18" customHeight="1" thickBot="1" x14ac:dyDescent="0.3">
      <c r="B113" s="14">
        <v>8</v>
      </c>
      <c r="C113" s="15" t="s">
        <v>116</v>
      </c>
      <c r="D113" s="16"/>
      <c r="E113" s="16"/>
      <c r="F113" s="16"/>
      <c r="G113" s="16"/>
      <c r="H113" s="17"/>
    </row>
    <row r="114" spans="2:11" s="18" customFormat="1" ht="56.25" x14ac:dyDescent="0.3">
      <c r="B114" s="19">
        <f t="shared" ref="B114:B126" si="9">+B113+0.01</f>
        <v>8.01</v>
      </c>
      <c r="C114" s="20" t="s">
        <v>117</v>
      </c>
      <c r="D114" s="21">
        <f>1176.7*0.1*1.3</f>
        <v>152.97100000000003</v>
      </c>
      <c r="E114" s="21" t="s">
        <v>118</v>
      </c>
      <c r="F114" s="31"/>
      <c r="G114" s="23"/>
      <c r="H114" s="24"/>
    </row>
    <row r="115" spans="2:11" s="18" customFormat="1" ht="37.5" x14ac:dyDescent="0.3">
      <c r="B115" s="19">
        <f t="shared" si="9"/>
        <v>8.02</v>
      </c>
      <c r="C115" s="25" t="s">
        <v>119</v>
      </c>
      <c r="D115" s="21">
        <v>1176.7</v>
      </c>
      <c r="E115" s="21" t="s">
        <v>19</v>
      </c>
      <c r="F115" s="31"/>
      <c r="G115" s="23"/>
      <c r="H115" s="30"/>
      <c r="I115" s="18">
        <v>1134.191</v>
      </c>
    </row>
    <row r="116" spans="2:11" s="18" customFormat="1" ht="18" customHeight="1" x14ac:dyDescent="0.3">
      <c r="B116" s="19">
        <f t="shared" si="9"/>
        <v>8.0299999999999994</v>
      </c>
      <c r="C116" s="25" t="s">
        <v>120</v>
      </c>
      <c r="D116" s="21">
        <v>2</v>
      </c>
      <c r="E116" s="21" t="s">
        <v>23</v>
      </c>
      <c r="F116" s="22"/>
      <c r="G116" s="23"/>
      <c r="H116" s="30"/>
    </row>
    <row r="117" spans="2:11" s="18" customFormat="1" ht="18" customHeight="1" x14ac:dyDescent="0.3">
      <c r="B117" s="19">
        <f t="shared" si="9"/>
        <v>8.0399999999999991</v>
      </c>
      <c r="C117" s="25" t="s">
        <v>121</v>
      </c>
      <c r="D117" s="21">
        <v>1</v>
      </c>
      <c r="E117" s="21" t="s">
        <v>23</v>
      </c>
      <c r="F117" s="22"/>
      <c r="G117" s="23"/>
      <c r="H117" s="30"/>
    </row>
    <row r="118" spans="2:11" s="18" customFormat="1" ht="18" customHeight="1" x14ac:dyDescent="0.3">
      <c r="B118" s="19">
        <f t="shared" si="9"/>
        <v>8.0499999999999989</v>
      </c>
      <c r="C118" s="20" t="s">
        <v>122</v>
      </c>
      <c r="D118" s="21">
        <v>1</v>
      </c>
      <c r="E118" s="21" t="s">
        <v>33</v>
      </c>
      <c r="F118" s="22"/>
      <c r="G118" s="23"/>
      <c r="H118" s="30"/>
    </row>
    <row r="119" spans="2:11" s="18" customFormat="1" ht="18" customHeight="1" x14ac:dyDescent="0.3">
      <c r="B119" s="19">
        <f t="shared" si="9"/>
        <v>8.0599999999999987</v>
      </c>
      <c r="C119" s="25" t="s">
        <v>123</v>
      </c>
      <c r="D119" s="21">
        <v>10</v>
      </c>
      <c r="E119" s="21" t="s">
        <v>23</v>
      </c>
      <c r="F119" s="22"/>
      <c r="G119" s="23"/>
      <c r="H119" s="30"/>
    </row>
    <row r="120" spans="2:11" s="18" customFormat="1" ht="37.5" x14ac:dyDescent="0.3">
      <c r="B120" s="19">
        <f t="shared" si="9"/>
        <v>8.0699999999999985</v>
      </c>
      <c r="C120" s="20" t="s">
        <v>124</v>
      </c>
      <c r="D120" s="21">
        <v>1</v>
      </c>
      <c r="E120" s="21" t="s">
        <v>23</v>
      </c>
      <c r="F120" s="22"/>
      <c r="G120" s="23"/>
      <c r="H120" s="30"/>
    </row>
    <row r="121" spans="2:11" s="18" customFormat="1" ht="37.5" x14ac:dyDescent="0.3">
      <c r="B121" s="19">
        <f t="shared" si="9"/>
        <v>8.0799999999999983</v>
      </c>
      <c r="C121" s="20" t="s">
        <v>125</v>
      </c>
      <c r="D121" s="21">
        <v>20.56</v>
      </c>
      <c r="E121" s="21" t="s">
        <v>30</v>
      </c>
      <c r="F121" s="22"/>
      <c r="G121" s="23"/>
      <c r="H121" s="30"/>
      <c r="K121" s="68">
        <f>+SUM(G114:G126)</f>
        <v>0</v>
      </c>
    </row>
    <row r="122" spans="2:11" s="18" customFormat="1" ht="37.5" x14ac:dyDescent="0.3">
      <c r="B122" s="19">
        <f t="shared" si="9"/>
        <v>8.0899999999999981</v>
      </c>
      <c r="C122" s="20" t="s">
        <v>126</v>
      </c>
      <c r="D122" s="21">
        <v>15</v>
      </c>
      <c r="E122" s="21" t="s">
        <v>23</v>
      </c>
      <c r="F122" s="22"/>
      <c r="G122" s="23"/>
      <c r="H122" s="30"/>
      <c r="I122" s="18">
        <f>0.4*4*3.42</f>
        <v>5.4720000000000004</v>
      </c>
    </row>
    <row r="123" spans="2:11" s="18" customFormat="1" ht="18.75" x14ac:dyDescent="0.3">
      <c r="B123" s="19">
        <f t="shared" si="9"/>
        <v>8.0999999999999979</v>
      </c>
      <c r="C123" s="25" t="s">
        <v>127</v>
      </c>
      <c r="D123" s="21">
        <v>103.54</v>
      </c>
      <c r="E123" s="21" t="s">
        <v>19</v>
      </c>
      <c r="F123" s="22"/>
      <c r="G123" s="23"/>
      <c r="H123" s="30"/>
    </row>
    <row r="124" spans="2:11" s="18" customFormat="1" ht="37.5" x14ac:dyDescent="0.3">
      <c r="B124" s="19">
        <f t="shared" si="9"/>
        <v>8.1099999999999977</v>
      </c>
      <c r="C124" s="20" t="s">
        <v>128</v>
      </c>
      <c r="D124" s="21">
        <f>+D123</f>
        <v>103.54</v>
      </c>
      <c r="E124" s="21" t="s">
        <v>19</v>
      </c>
      <c r="F124" s="22"/>
      <c r="G124" s="23"/>
      <c r="H124" s="30"/>
      <c r="I124" s="18">
        <f>16500/12</f>
        <v>1375</v>
      </c>
    </row>
    <row r="125" spans="2:11" s="18" customFormat="1" ht="18.75" x14ac:dyDescent="0.3">
      <c r="B125" s="19">
        <f t="shared" si="9"/>
        <v>8.1199999999999974</v>
      </c>
      <c r="C125" s="20" t="s">
        <v>129</v>
      </c>
      <c r="D125" s="21">
        <v>1</v>
      </c>
      <c r="E125" s="21" t="s">
        <v>33</v>
      </c>
      <c r="F125" s="22"/>
      <c r="G125" s="23"/>
      <c r="H125" s="30"/>
      <c r="I125" s="18">
        <f>+I124*8</f>
        <v>11000</v>
      </c>
    </row>
    <row r="126" spans="2:11" s="18" customFormat="1" ht="37.5" x14ac:dyDescent="0.3">
      <c r="B126" s="19">
        <f t="shared" si="9"/>
        <v>8.1299999999999972</v>
      </c>
      <c r="C126" s="20" t="s">
        <v>130</v>
      </c>
      <c r="D126" s="21">
        <f>11.98</f>
        <v>11.98</v>
      </c>
      <c r="E126" s="21" t="s">
        <v>30</v>
      </c>
      <c r="F126" s="22"/>
      <c r="G126" s="23"/>
      <c r="H126" s="30"/>
    </row>
    <row r="127" spans="2:11" s="18" customFormat="1" ht="18" customHeight="1" thickBot="1" x14ac:dyDescent="0.35">
      <c r="B127" s="34"/>
      <c r="C127" s="35"/>
      <c r="D127" s="36"/>
      <c r="E127" s="36"/>
      <c r="F127" s="37"/>
      <c r="G127" s="38"/>
      <c r="H127" s="39"/>
    </row>
    <row r="128" spans="2:11" s="18" customFormat="1" ht="18" customHeight="1" thickBot="1" x14ac:dyDescent="0.3">
      <c r="B128" s="14">
        <v>9</v>
      </c>
      <c r="C128" s="15" t="s">
        <v>131</v>
      </c>
      <c r="D128" s="16"/>
      <c r="E128" s="16"/>
      <c r="F128" s="16"/>
      <c r="G128" s="16"/>
      <c r="H128" s="17"/>
    </row>
    <row r="129" spans="2:11" s="18" customFormat="1" ht="24.75" customHeight="1" x14ac:dyDescent="0.3">
      <c r="B129" s="19">
        <f>+B128+0.01</f>
        <v>9.01</v>
      </c>
      <c r="C129" s="25" t="s">
        <v>132</v>
      </c>
      <c r="D129" s="21">
        <f>+(0.8*2+1.5*2)*(0.45*0.65)</f>
        <v>1.3455000000000001</v>
      </c>
      <c r="E129" s="21" t="s">
        <v>25</v>
      </c>
      <c r="F129" s="31"/>
      <c r="G129" s="23"/>
      <c r="H129" s="24"/>
    </row>
    <row r="130" spans="2:11" s="18" customFormat="1" ht="27.75" customHeight="1" x14ac:dyDescent="0.3">
      <c r="B130" s="19">
        <f t="shared" ref="B130:B141" si="10">+B129+0.01</f>
        <v>9.02</v>
      </c>
      <c r="C130" s="25" t="s">
        <v>133</v>
      </c>
      <c r="D130" s="21">
        <f>+(0.45-0.15)*(0.65-0.25)*(1.5*2+0.8*2)*1.3</f>
        <v>0.71760000000000013</v>
      </c>
      <c r="E130" s="21" t="s">
        <v>118</v>
      </c>
      <c r="F130" s="31"/>
      <c r="G130" s="23"/>
      <c r="H130" s="30"/>
    </row>
    <row r="131" spans="2:11" s="18" customFormat="1" ht="26.25" customHeight="1" x14ac:dyDescent="0.3">
      <c r="B131" s="19">
        <f t="shared" si="10"/>
        <v>9.0299999999999994</v>
      </c>
      <c r="C131" s="25" t="s">
        <v>134</v>
      </c>
      <c r="D131" s="21">
        <f>+(D129-D130)*1.25</f>
        <v>0.78487499999999999</v>
      </c>
      <c r="E131" s="21" t="s">
        <v>36</v>
      </c>
      <c r="F131" s="31"/>
      <c r="G131" s="23"/>
      <c r="H131" s="30"/>
    </row>
    <row r="132" spans="2:11" s="18" customFormat="1" ht="37.5" x14ac:dyDescent="0.3">
      <c r="B132" s="19">
        <f t="shared" si="10"/>
        <v>9.0399999999999991</v>
      </c>
      <c r="C132" s="20" t="s">
        <v>135</v>
      </c>
      <c r="D132" s="21">
        <f>(1.5*2+0.8*2)*0.45*0.25</f>
        <v>0.51749999999999996</v>
      </c>
      <c r="E132" s="21" t="s">
        <v>25</v>
      </c>
      <c r="F132" s="31"/>
      <c r="G132" s="23"/>
      <c r="H132" s="30"/>
      <c r="K132" s="68">
        <f>+SUM(G129:G141)</f>
        <v>0</v>
      </c>
    </row>
    <row r="133" spans="2:11" s="18" customFormat="1" ht="37.5" x14ac:dyDescent="0.3">
      <c r="B133" s="19">
        <f t="shared" si="10"/>
        <v>9.0499999999999989</v>
      </c>
      <c r="C133" s="25" t="s">
        <v>119</v>
      </c>
      <c r="D133" s="21">
        <f>0.8*1.5</f>
        <v>1.2000000000000002</v>
      </c>
      <c r="E133" s="21" t="s">
        <v>19</v>
      </c>
      <c r="F133" s="31"/>
      <c r="G133" s="23"/>
      <c r="H133" s="30"/>
    </row>
    <row r="134" spans="2:11" s="18" customFormat="1" ht="18" customHeight="1" x14ac:dyDescent="0.3">
      <c r="B134" s="19">
        <f t="shared" si="10"/>
        <v>9.0599999999999987</v>
      </c>
      <c r="C134" s="25" t="s">
        <v>136</v>
      </c>
      <c r="D134" s="21">
        <f>(0.8*2+1.5*2)*0.4</f>
        <v>1.8399999999999999</v>
      </c>
      <c r="E134" s="21" t="s">
        <v>19</v>
      </c>
      <c r="F134" s="31"/>
      <c r="G134" s="23"/>
      <c r="H134" s="30"/>
    </row>
    <row r="135" spans="2:11" s="18" customFormat="1" ht="18" customHeight="1" x14ac:dyDescent="0.3">
      <c r="B135" s="19">
        <f t="shared" si="10"/>
        <v>9.0699999999999985</v>
      </c>
      <c r="C135" s="25" t="s">
        <v>137</v>
      </c>
      <c r="D135" s="21">
        <f>(0.8*2+1.5)*2</f>
        <v>6.2</v>
      </c>
      <c r="E135" s="21" t="s">
        <v>19</v>
      </c>
      <c r="F135" s="31"/>
      <c r="G135" s="23"/>
      <c r="H135" s="30"/>
    </row>
    <row r="136" spans="2:11" s="18" customFormat="1" ht="37.5" x14ac:dyDescent="0.3">
      <c r="B136" s="19">
        <f t="shared" si="10"/>
        <v>9.0799999999999983</v>
      </c>
      <c r="C136" s="20" t="s">
        <v>138</v>
      </c>
      <c r="D136" s="21">
        <f>0.9*1.6*0.1*1.05</f>
        <v>0.15120000000000003</v>
      </c>
      <c r="E136" s="21" t="str">
        <f>+E132</f>
        <v>M3</v>
      </c>
      <c r="F136" s="31"/>
      <c r="G136" s="23"/>
      <c r="H136" s="30"/>
    </row>
    <row r="137" spans="2:11" s="18" customFormat="1" ht="18" customHeight="1" x14ac:dyDescent="0.3">
      <c r="B137" s="19">
        <f t="shared" si="10"/>
        <v>9.0899999999999981</v>
      </c>
      <c r="C137" s="25" t="s">
        <v>139</v>
      </c>
      <c r="D137" s="21">
        <f>0.9*1.5*1.05</f>
        <v>1.4175000000000002</v>
      </c>
      <c r="E137" s="21" t="s">
        <v>19</v>
      </c>
      <c r="F137" s="31"/>
      <c r="G137" s="23"/>
      <c r="H137" s="30"/>
    </row>
    <row r="138" spans="2:11" s="18" customFormat="1" ht="18" customHeight="1" x14ac:dyDescent="0.3">
      <c r="B138" s="19">
        <f t="shared" si="10"/>
        <v>9.0999999999999979</v>
      </c>
      <c r="C138" s="25" t="s">
        <v>140</v>
      </c>
      <c r="D138" s="21">
        <f>+D137+(0.8*2+1.5)*2*2</f>
        <v>13.817500000000001</v>
      </c>
      <c r="E138" s="21" t="s">
        <v>19</v>
      </c>
      <c r="F138" s="31"/>
      <c r="G138" s="23"/>
      <c r="H138" s="30"/>
    </row>
    <row r="139" spans="2:11" s="18" customFormat="1" ht="18" customHeight="1" x14ac:dyDescent="0.3">
      <c r="B139" s="19">
        <f t="shared" si="10"/>
        <v>9.1099999999999977</v>
      </c>
      <c r="C139" s="25" t="s">
        <v>141</v>
      </c>
      <c r="D139" s="21">
        <f>2*4+1.5*2</f>
        <v>11</v>
      </c>
      <c r="E139" s="21" t="s">
        <v>30</v>
      </c>
      <c r="F139" s="31"/>
      <c r="G139" s="23"/>
      <c r="H139" s="30"/>
    </row>
    <row r="140" spans="2:11" s="18" customFormat="1" ht="18" customHeight="1" x14ac:dyDescent="0.3">
      <c r="B140" s="19">
        <f t="shared" si="10"/>
        <v>9.1199999999999974</v>
      </c>
      <c r="C140" s="20" t="s">
        <v>142</v>
      </c>
      <c r="D140" s="21">
        <v>1</v>
      </c>
      <c r="E140" s="21" t="s">
        <v>23</v>
      </c>
      <c r="F140" s="22"/>
      <c r="G140" s="23"/>
      <c r="H140" s="30"/>
    </row>
    <row r="141" spans="2:11" s="18" customFormat="1" ht="37.5" x14ac:dyDescent="0.3">
      <c r="B141" s="19">
        <f t="shared" si="10"/>
        <v>9.1299999999999972</v>
      </c>
      <c r="C141" s="20" t="s">
        <v>143</v>
      </c>
      <c r="D141" s="21">
        <v>1</v>
      </c>
      <c r="E141" s="21" t="s">
        <v>23</v>
      </c>
      <c r="F141" s="22"/>
      <c r="G141" s="23"/>
      <c r="H141" s="30"/>
      <c r="K141" s="18">
        <f>119.07+129.27</f>
        <v>248.34</v>
      </c>
    </row>
    <row r="142" spans="2:11" s="18" customFormat="1" ht="18" customHeight="1" thickBot="1" x14ac:dyDescent="0.35">
      <c r="B142" s="34"/>
      <c r="C142" s="35"/>
      <c r="D142" s="36"/>
      <c r="E142" s="36"/>
      <c r="F142" s="37"/>
      <c r="G142" s="38"/>
      <c r="H142" s="39"/>
      <c r="K142" s="18">
        <f>+K141/2</f>
        <v>124.17</v>
      </c>
    </row>
    <row r="143" spans="2:11" s="18" customFormat="1" ht="18" customHeight="1" thickBot="1" x14ac:dyDescent="0.3">
      <c r="B143" s="14">
        <v>10</v>
      </c>
      <c r="C143" s="15" t="s">
        <v>144</v>
      </c>
      <c r="D143" s="16"/>
      <c r="E143" s="16"/>
      <c r="F143" s="16"/>
      <c r="G143" s="16"/>
      <c r="H143" s="17"/>
    </row>
    <row r="144" spans="2:11" s="18" customFormat="1" ht="18" customHeight="1" x14ac:dyDescent="0.3">
      <c r="B144" s="19">
        <f>+B143+0.01</f>
        <v>10.01</v>
      </c>
      <c r="C144" s="20" t="s">
        <v>145</v>
      </c>
      <c r="D144" s="21">
        <v>11</v>
      </c>
      <c r="E144" s="21" t="s">
        <v>30</v>
      </c>
      <c r="F144" s="31"/>
      <c r="G144" s="23"/>
      <c r="H144" s="24"/>
    </row>
    <row r="145" spans="2:11" s="18" customFormat="1" ht="18" customHeight="1" x14ac:dyDescent="0.3">
      <c r="B145" s="19">
        <f t="shared" ref="B145:B151" si="11">+B144+0.01</f>
        <v>10.02</v>
      </c>
      <c r="C145" s="20" t="s">
        <v>146</v>
      </c>
      <c r="D145" s="21">
        <f>ROUND(D144*0.5*0.2,2)</f>
        <v>1.1000000000000001</v>
      </c>
      <c r="E145" s="21" t="s">
        <v>25</v>
      </c>
      <c r="F145" s="31"/>
      <c r="G145" s="23"/>
      <c r="H145" s="30"/>
    </row>
    <row r="146" spans="2:11" s="18" customFormat="1" ht="18" customHeight="1" x14ac:dyDescent="0.3">
      <c r="B146" s="19">
        <f t="shared" si="11"/>
        <v>10.029999999999999</v>
      </c>
      <c r="C146" s="20" t="s">
        <v>147</v>
      </c>
      <c r="D146" s="21">
        <f>ROUND(D144*1*0.1,2)</f>
        <v>1.1000000000000001</v>
      </c>
      <c r="E146" s="21" t="s">
        <v>25</v>
      </c>
      <c r="F146" s="31"/>
      <c r="G146" s="23"/>
      <c r="H146" s="30"/>
    </row>
    <row r="147" spans="2:11" s="18" customFormat="1" ht="37.5" x14ac:dyDescent="0.3">
      <c r="B147" s="19">
        <f t="shared" si="11"/>
        <v>10.039999999999999</v>
      </c>
      <c r="C147" s="20" t="s">
        <v>148</v>
      </c>
      <c r="D147" s="21">
        <f>ROUND(D144*1*0.2,2)</f>
        <v>2.2000000000000002</v>
      </c>
      <c r="E147" s="21" t="s">
        <v>25</v>
      </c>
      <c r="F147" s="31"/>
      <c r="G147" s="23"/>
      <c r="H147" s="30"/>
    </row>
    <row r="148" spans="2:11" s="18" customFormat="1" ht="18.75" x14ac:dyDescent="0.3">
      <c r="B148" s="19">
        <f t="shared" si="11"/>
        <v>10.049999999999999</v>
      </c>
      <c r="C148" s="20" t="s">
        <v>149</v>
      </c>
      <c r="D148" s="21">
        <f>D144*0.5*0.2</f>
        <v>1.1000000000000001</v>
      </c>
      <c r="E148" s="21" t="s">
        <v>25</v>
      </c>
      <c r="F148" s="31"/>
      <c r="G148" s="23"/>
      <c r="H148" s="30"/>
    </row>
    <row r="149" spans="2:11" s="18" customFormat="1" ht="18" customHeight="1" x14ac:dyDescent="0.3">
      <c r="B149" s="19">
        <f t="shared" si="11"/>
        <v>10.059999999999999</v>
      </c>
      <c r="C149" s="20" t="s">
        <v>150</v>
      </c>
      <c r="D149" s="21">
        <f>ROUND((D145+D146)*1.2,2)</f>
        <v>2.64</v>
      </c>
      <c r="E149" s="21" t="s">
        <v>36</v>
      </c>
      <c r="F149" s="31"/>
      <c r="G149" s="23"/>
      <c r="H149" s="30"/>
      <c r="K149" s="68">
        <f>+SUM(G144:G151)</f>
        <v>0</v>
      </c>
    </row>
    <row r="150" spans="2:11" s="18" customFormat="1" ht="37.5" x14ac:dyDescent="0.3">
      <c r="B150" s="19">
        <f t="shared" si="11"/>
        <v>10.069999999999999</v>
      </c>
      <c r="C150" s="20" t="s">
        <v>151</v>
      </c>
      <c r="D150" s="21">
        <f>+D144</f>
        <v>11</v>
      </c>
      <c r="E150" s="21" t="s">
        <v>30</v>
      </c>
      <c r="F150" s="31"/>
      <c r="G150" s="23"/>
      <c r="H150" s="30"/>
    </row>
    <row r="151" spans="2:11" s="18" customFormat="1" ht="37.5" x14ac:dyDescent="0.3">
      <c r="B151" s="19">
        <f t="shared" si="11"/>
        <v>10.079999999999998</v>
      </c>
      <c r="C151" s="20" t="s">
        <v>152</v>
      </c>
      <c r="D151" s="21">
        <f>11*1</f>
        <v>11</v>
      </c>
      <c r="E151" s="21" t="s">
        <v>19</v>
      </c>
      <c r="F151" s="31"/>
      <c r="G151" s="23"/>
      <c r="H151" s="30"/>
    </row>
    <row r="152" spans="2:11" s="18" customFormat="1" ht="18" customHeight="1" thickBot="1" x14ac:dyDescent="0.35">
      <c r="B152" s="34"/>
      <c r="C152" s="35"/>
      <c r="D152" s="36"/>
      <c r="E152" s="36"/>
      <c r="F152" s="37"/>
      <c r="G152" s="38"/>
      <c r="H152" s="39"/>
    </row>
    <row r="153" spans="2:11" s="18" customFormat="1" ht="18" customHeight="1" thickBot="1" x14ac:dyDescent="0.3">
      <c r="B153" s="14">
        <v>11</v>
      </c>
      <c r="C153" s="15" t="s">
        <v>153</v>
      </c>
      <c r="D153" s="16"/>
      <c r="E153" s="16"/>
      <c r="F153" s="16"/>
      <c r="G153" s="16"/>
      <c r="H153" s="17"/>
    </row>
    <row r="154" spans="2:11" s="18" customFormat="1" ht="18" customHeight="1" x14ac:dyDescent="0.3">
      <c r="B154" s="19">
        <f>+B153+0.01</f>
        <v>11.01</v>
      </c>
      <c r="C154" s="20" t="s">
        <v>154</v>
      </c>
      <c r="D154" s="21">
        <v>8.5</v>
      </c>
      <c r="E154" s="21" t="s">
        <v>25</v>
      </c>
      <c r="F154" s="76"/>
      <c r="G154" s="23"/>
      <c r="H154" s="24"/>
    </row>
    <row r="155" spans="2:11" s="18" customFormat="1" ht="18" customHeight="1" x14ac:dyDescent="0.3">
      <c r="B155" s="19">
        <f t="shared" ref="B155:B158" si="12">+B154+0.01</f>
        <v>11.02</v>
      </c>
      <c r="C155" s="20" t="s">
        <v>155</v>
      </c>
      <c r="D155" s="21">
        <v>35</v>
      </c>
      <c r="E155" s="21" t="s">
        <v>19</v>
      </c>
      <c r="F155" s="76"/>
      <c r="G155" s="23"/>
      <c r="H155" s="30"/>
    </row>
    <row r="156" spans="2:11" s="18" customFormat="1" ht="18" customHeight="1" x14ac:dyDescent="0.3">
      <c r="B156" s="19">
        <f t="shared" si="12"/>
        <v>11.03</v>
      </c>
      <c r="C156" s="20" t="s">
        <v>156</v>
      </c>
      <c r="D156" s="21">
        <v>25</v>
      </c>
      <c r="E156" s="21" t="s">
        <v>23</v>
      </c>
      <c r="F156" s="76"/>
      <c r="G156" s="23"/>
      <c r="H156" s="30"/>
      <c r="K156" s="68">
        <f>+SUM(G154:G158)</f>
        <v>0</v>
      </c>
    </row>
    <row r="157" spans="2:11" s="18" customFormat="1" ht="18" customHeight="1" x14ac:dyDescent="0.3">
      <c r="B157" s="19">
        <f t="shared" si="12"/>
        <v>11.04</v>
      </c>
      <c r="C157" s="20" t="s">
        <v>157</v>
      </c>
      <c r="D157" s="21">
        <v>12</v>
      </c>
      <c r="E157" s="21" t="s">
        <v>23</v>
      </c>
      <c r="F157" s="76"/>
      <c r="G157" s="23"/>
      <c r="H157" s="30"/>
    </row>
    <row r="158" spans="2:11" s="18" customFormat="1" ht="18" customHeight="1" x14ac:dyDescent="0.3">
      <c r="B158" s="19">
        <f t="shared" si="12"/>
        <v>11.049999999999999</v>
      </c>
      <c r="C158" s="20" t="s">
        <v>158</v>
      </c>
      <c r="D158" s="21">
        <v>10</v>
      </c>
      <c r="E158" s="21" t="s">
        <v>23</v>
      </c>
      <c r="F158" s="76"/>
      <c r="G158" s="23"/>
      <c r="H158" s="30"/>
    </row>
    <row r="159" spans="2:11" s="18" customFormat="1" ht="18" customHeight="1" thickBot="1" x14ac:dyDescent="0.35">
      <c r="B159" s="34"/>
      <c r="C159" s="35"/>
      <c r="D159" s="36"/>
      <c r="E159" s="36"/>
      <c r="F159" s="37"/>
      <c r="G159" s="38"/>
      <c r="H159" s="39"/>
    </row>
    <row r="160" spans="2:11" s="32" customFormat="1" ht="19.5" thickBot="1" x14ac:dyDescent="0.3">
      <c r="B160" s="14">
        <v>12</v>
      </c>
      <c r="C160" s="15" t="s">
        <v>159</v>
      </c>
      <c r="D160" s="16"/>
      <c r="E160" s="16"/>
      <c r="F160" s="16"/>
      <c r="G160" s="16"/>
      <c r="H160" s="79"/>
    </row>
    <row r="161" spans="2:9" s="32" customFormat="1" ht="19.5" thickBot="1" x14ac:dyDescent="0.35">
      <c r="B161" s="19">
        <f>+B160+0.01</f>
        <v>12.01</v>
      </c>
      <c r="C161" s="20" t="s">
        <v>160</v>
      </c>
      <c r="D161" s="21">
        <v>1</v>
      </c>
      <c r="E161" s="21" t="s">
        <v>33</v>
      </c>
      <c r="F161" s="22"/>
      <c r="G161" s="23"/>
      <c r="H161" s="80"/>
    </row>
    <row r="162" spans="2:9" s="32" customFormat="1" ht="19.5" thickBot="1" x14ac:dyDescent="0.35">
      <c r="B162" s="34"/>
      <c r="C162" s="35"/>
      <c r="D162" s="36"/>
      <c r="E162" s="36"/>
      <c r="F162" s="37"/>
      <c r="G162" s="38"/>
      <c r="H162" s="81"/>
    </row>
    <row r="163" spans="2:9" s="32" customFormat="1" ht="19.5" thickBot="1" x14ac:dyDescent="0.35">
      <c r="B163" s="82"/>
      <c r="C163" s="83"/>
      <c r="D163" s="83"/>
      <c r="E163" s="83"/>
      <c r="F163" s="83"/>
      <c r="G163" s="83"/>
      <c r="H163" s="84"/>
    </row>
    <row r="164" spans="2:9" s="87" customFormat="1" ht="19.5" thickBot="1" x14ac:dyDescent="0.35">
      <c r="B164" s="138" t="s">
        <v>161</v>
      </c>
      <c r="C164" s="139"/>
      <c r="D164" s="139"/>
      <c r="E164" s="139"/>
      <c r="F164" s="139"/>
      <c r="G164" s="139"/>
      <c r="H164" s="85">
        <f>+SUM(H17:H162)</f>
        <v>0</v>
      </c>
      <c r="I164" s="86"/>
    </row>
    <row r="165" spans="2:9" s="32" customFormat="1" ht="19.5" thickBot="1" x14ac:dyDescent="0.35">
      <c r="B165" s="82"/>
      <c r="C165" s="83"/>
      <c r="D165" s="83"/>
      <c r="E165" s="83"/>
      <c r="F165" s="83"/>
      <c r="G165" s="83"/>
      <c r="H165" s="84"/>
    </row>
    <row r="166" spans="2:9" s="32" customFormat="1" ht="19.5" thickBot="1" x14ac:dyDescent="0.3">
      <c r="B166" s="14">
        <v>13</v>
      </c>
      <c r="C166" s="15" t="s">
        <v>162</v>
      </c>
      <c r="D166" s="16"/>
      <c r="E166" s="16"/>
      <c r="F166" s="16"/>
      <c r="G166" s="16"/>
      <c r="H166" s="79"/>
    </row>
    <row r="167" spans="2:9" s="32" customFormat="1" ht="19.5" thickBot="1" x14ac:dyDescent="0.35">
      <c r="B167" s="19">
        <f>+B166+0.01</f>
        <v>13.01</v>
      </c>
      <c r="C167" s="88" t="s">
        <v>163</v>
      </c>
      <c r="D167" s="89"/>
      <c r="E167" s="90">
        <v>0.04</v>
      </c>
      <c r="F167" s="91"/>
      <c r="G167" s="92">
        <f t="shared" ref="G167:G174" si="13">ROUND($H$164*E167,2)</f>
        <v>0</v>
      </c>
      <c r="H167" s="93"/>
    </row>
    <row r="168" spans="2:9" s="32" customFormat="1" ht="19.5" thickBot="1" x14ac:dyDescent="0.35">
      <c r="B168" s="19">
        <f t="shared" ref="B168:B175" si="14">+B167+0.01</f>
        <v>13.02</v>
      </c>
      <c r="C168" s="88" t="s">
        <v>164</v>
      </c>
      <c r="D168" s="89"/>
      <c r="E168" s="90">
        <v>0.03</v>
      </c>
      <c r="F168" s="91"/>
      <c r="G168" s="92">
        <f t="shared" si="13"/>
        <v>0</v>
      </c>
      <c r="H168" s="94"/>
    </row>
    <row r="169" spans="2:9" s="32" customFormat="1" ht="19.5" thickBot="1" x14ac:dyDescent="0.35">
      <c r="B169" s="19">
        <f t="shared" si="14"/>
        <v>13.03</v>
      </c>
      <c r="C169" s="88" t="s">
        <v>165</v>
      </c>
      <c r="D169" s="89"/>
      <c r="E169" s="90">
        <v>2.5000000000000001E-2</v>
      </c>
      <c r="F169" s="91"/>
      <c r="G169" s="92">
        <f t="shared" si="13"/>
        <v>0</v>
      </c>
      <c r="H169" s="94"/>
    </row>
    <row r="170" spans="2:9" s="32" customFormat="1" ht="19.5" thickBot="1" x14ac:dyDescent="0.35">
      <c r="B170" s="19">
        <f t="shared" si="14"/>
        <v>13.04</v>
      </c>
      <c r="C170" s="88" t="s">
        <v>166</v>
      </c>
      <c r="D170" s="89"/>
      <c r="E170" s="90">
        <v>0.1</v>
      </c>
      <c r="F170" s="91"/>
      <c r="G170" s="92">
        <f t="shared" si="13"/>
        <v>0</v>
      </c>
      <c r="H170" s="94"/>
    </row>
    <row r="171" spans="2:9" ht="19.5" thickBot="1" x14ac:dyDescent="0.35">
      <c r="B171" s="19">
        <f t="shared" si="14"/>
        <v>13.049999999999999</v>
      </c>
      <c r="C171" s="88" t="s">
        <v>167</v>
      </c>
      <c r="D171" s="89"/>
      <c r="E171" s="90">
        <v>0.04</v>
      </c>
      <c r="F171" s="91"/>
      <c r="G171" s="92">
        <f t="shared" si="13"/>
        <v>0</v>
      </c>
      <c r="H171" s="95"/>
    </row>
    <row r="172" spans="2:9" ht="19.5" thickBot="1" x14ac:dyDescent="0.35">
      <c r="B172" s="19">
        <f t="shared" si="14"/>
        <v>13.059999999999999</v>
      </c>
      <c r="C172" s="88" t="s">
        <v>168</v>
      </c>
      <c r="D172" s="89"/>
      <c r="E172" s="90">
        <v>0.01</v>
      </c>
      <c r="F172" s="91"/>
      <c r="G172" s="92">
        <f t="shared" si="13"/>
        <v>0</v>
      </c>
      <c r="H172" s="95"/>
    </row>
    <row r="173" spans="2:9" ht="19.5" thickBot="1" x14ac:dyDescent="0.35">
      <c r="B173" s="19">
        <f t="shared" si="14"/>
        <v>13.069999999999999</v>
      </c>
      <c r="C173" s="88" t="s">
        <v>169</v>
      </c>
      <c r="D173" s="89"/>
      <c r="E173" s="96">
        <v>1E-3</v>
      </c>
      <c r="F173" s="91"/>
      <c r="G173" s="92">
        <f t="shared" si="13"/>
        <v>0</v>
      </c>
      <c r="H173" s="95"/>
    </row>
    <row r="174" spans="2:9" ht="19.5" thickBot="1" x14ac:dyDescent="0.35">
      <c r="B174" s="19">
        <f t="shared" si="14"/>
        <v>13.079999999999998</v>
      </c>
      <c r="C174" s="88" t="s">
        <v>170</v>
      </c>
      <c r="D174" s="89"/>
      <c r="E174" s="90">
        <v>0.05</v>
      </c>
      <c r="F174" s="91"/>
      <c r="G174" s="92">
        <f t="shared" si="13"/>
        <v>0</v>
      </c>
      <c r="H174" s="95"/>
    </row>
    <row r="175" spans="2:9" ht="19.5" thickBot="1" x14ac:dyDescent="0.35">
      <c r="B175" s="19">
        <f t="shared" si="14"/>
        <v>13.089999999999998</v>
      </c>
      <c r="C175" s="88" t="s">
        <v>171</v>
      </c>
      <c r="D175" s="89"/>
      <c r="E175" s="96">
        <v>0.18</v>
      </c>
      <c r="F175" s="91"/>
      <c r="G175" s="92">
        <f>ROUND($H$164*E175*0.1,2)</f>
        <v>0</v>
      </c>
      <c r="H175" s="95"/>
    </row>
    <row r="176" spans="2:9" s="87" customFormat="1" ht="19.5" thickBot="1" x14ac:dyDescent="0.35">
      <c r="B176" s="140"/>
      <c r="C176" s="141"/>
      <c r="D176" s="141"/>
      <c r="E176" s="141"/>
      <c r="F176" s="141"/>
      <c r="G176" s="142"/>
      <c r="H176" s="97"/>
    </row>
    <row r="177" spans="2:8" ht="19.5" thickBot="1" x14ac:dyDescent="0.35">
      <c r="B177" s="82"/>
      <c r="C177" s="83"/>
      <c r="D177" s="83"/>
      <c r="E177" s="83"/>
      <c r="F177" s="83"/>
      <c r="G177" s="83"/>
      <c r="H177" s="84"/>
    </row>
    <row r="178" spans="2:8" ht="21" thickBot="1" x14ac:dyDescent="0.35">
      <c r="B178" s="143" t="s">
        <v>172</v>
      </c>
      <c r="C178" s="144"/>
      <c r="D178" s="144"/>
      <c r="E178" s="144"/>
      <c r="F178" s="144"/>
      <c r="G178" s="145"/>
      <c r="H178" s="98"/>
    </row>
    <row r="179" spans="2:8" ht="18.75" x14ac:dyDescent="0.25">
      <c r="B179" s="99"/>
      <c r="C179" s="100" t="s">
        <v>173</v>
      </c>
      <c r="D179" s="101"/>
      <c r="E179" s="102"/>
      <c r="F179" s="126"/>
      <c r="G179" s="127"/>
      <c r="H179" s="128"/>
    </row>
    <row r="180" spans="2:8" ht="18.75" x14ac:dyDescent="0.25">
      <c r="B180" s="99"/>
      <c r="C180" s="100"/>
      <c r="D180" s="101"/>
      <c r="E180" s="102"/>
      <c r="F180" s="102"/>
      <c r="G180" s="102"/>
      <c r="H180" s="103"/>
    </row>
    <row r="181" spans="2:8" ht="18.75" x14ac:dyDescent="0.25">
      <c r="B181" s="99"/>
      <c r="C181" s="104"/>
      <c r="D181" s="101"/>
      <c r="E181" s="102"/>
      <c r="F181" s="105"/>
      <c r="G181" s="105"/>
      <c r="H181" s="106"/>
    </row>
    <row r="182" spans="2:8" ht="18.75" x14ac:dyDescent="0.25">
      <c r="B182" s="99"/>
      <c r="C182" s="107" t="s">
        <v>174</v>
      </c>
      <c r="D182" s="108"/>
      <c r="E182" s="120"/>
      <c r="F182" s="120"/>
      <c r="G182" s="120"/>
      <c r="H182" s="121"/>
    </row>
    <row r="183" spans="2:8" ht="18.75" x14ac:dyDescent="0.25">
      <c r="B183" s="99"/>
      <c r="C183" s="100" t="s">
        <v>175</v>
      </c>
      <c r="D183" s="101" t="s">
        <v>176</v>
      </c>
      <c r="E183" s="122"/>
      <c r="F183" s="122"/>
      <c r="G183" s="122"/>
      <c r="H183" s="123"/>
    </row>
    <row r="184" spans="2:8" ht="18.75" x14ac:dyDescent="0.25">
      <c r="B184" s="109"/>
      <c r="C184" s="110"/>
      <c r="D184" s="111"/>
      <c r="E184" s="112"/>
      <c r="F184" s="113"/>
      <c r="G184" s="113"/>
      <c r="H184" s="114"/>
    </row>
    <row r="185" spans="2:8" ht="18.75" x14ac:dyDescent="0.25">
      <c r="B185" s="109"/>
      <c r="C185" s="122" t="s">
        <v>177</v>
      </c>
      <c r="D185" s="122"/>
      <c r="E185" s="122"/>
      <c r="F185" s="122"/>
      <c r="G185" s="122"/>
      <c r="H185" s="123"/>
    </row>
    <row r="186" spans="2:8" ht="18.75" x14ac:dyDescent="0.25">
      <c r="B186" s="109"/>
      <c r="C186" s="120" t="s">
        <v>178</v>
      </c>
      <c r="D186" s="120"/>
      <c r="E186" s="120"/>
      <c r="F186" s="120"/>
      <c r="G186" s="120"/>
      <c r="H186" s="121"/>
    </row>
    <row r="187" spans="2:8" ht="19.5" thickBot="1" x14ac:dyDescent="0.3">
      <c r="B187" s="115"/>
      <c r="C187" s="124" t="s">
        <v>179</v>
      </c>
      <c r="D187" s="124"/>
      <c r="E187" s="124"/>
      <c r="F187" s="124"/>
      <c r="G187" s="124"/>
      <c r="H187" s="125"/>
    </row>
    <row r="188" spans="2:8" x14ac:dyDescent="0.25">
      <c r="B188" s="116"/>
      <c r="C188" s="117"/>
      <c r="D188" s="116"/>
      <c r="E188" s="116"/>
      <c r="F188" s="116"/>
      <c r="G188" s="116"/>
      <c r="H188" s="116"/>
    </row>
    <row r="1946" spans="4:4" x14ac:dyDescent="0.25">
      <c r="D1946" s="118">
        <f>+D1944*2</f>
        <v>0</v>
      </c>
    </row>
  </sheetData>
  <autoFilter ref="B15:H162"/>
  <mergeCells count="24">
    <mergeCell ref="B9:C9"/>
    <mergeCell ref="D9:H9"/>
    <mergeCell ref="B1:C1"/>
    <mergeCell ref="D1:H1"/>
    <mergeCell ref="B7:H7"/>
    <mergeCell ref="B8:C8"/>
    <mergeCell ref="D8:H8"/>
    <mergeCell ref="F179:H179"/>
    <mergeCell ref="B10:C10"/>
    <mergeCell ref="D10:H10"/>
    <mergeCell ref="B11:C11"/>
    <mergeCell ref="D11:H11"/>
    <mergeCell ref="B12:C12"/>
    <mergeCell ref="D12:H12"/>
    <mergeCell ref="B13:C13"/>
    <mergeCell ref="D13:F13"/>
    <mergeCell ref="B164:G164"/>
    <mergeCell ref="B176:G176"/>
    <mergeCell ref="B178:G178"/>
    <mergeCell ref="E182:H182"/>
    <mergeCell ref="E183:H183"/>
    <mergeCell ref="C185:H185"/>
    <mergeCell ref="C186:H186"/>
    <mergeCell ref="C187:H187"/>
  </mergeCells>
  <printOptions horizontalCentered="1"/>
  <pageMargins left="0.35433070866141736" right="0.27559055118110237" top="0.35433070866141736" bottom="0.51181102362204722" header="7.874015748031496E-2" footer="0.31496062992125984"/>
  <pageSetup scale="73" fitToHeight="0" orientation="portrait" r:id="rId1"/>
  <headerFooter alignWithMargins="0">
    <oddFooter>&amp;R&amp;9&amp;P/&amp;N</oddFooter>
  </headerFooter>
  <rowBreaks count="4" manualBreakCount="4">
    <brk id="43" min="1" max="7" man="1"/>
    <brk id="85" min="1" max="7" man="1"/>
    <brk id="126" min="1" max="7" man="1"/>
    <brk id="173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04 05 2022 </vt:lpstr>
      <vt:lpstr>'ACT. 04 05 2022 '!Área_de_impresión</vt:lpstr>
      <vt:lpstr>'ACT. 04 05 2022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Almonte</dc:creator>
  <cp:lastModifiedBy>Evelin Peña</cp:lastModifiedBy>
  <dcterms:created xsi:type="dcterms:W3CDTF">2022-06-30T17:05:30Z</dcterms:created>
  <dcterms:modified xsi:type="dcterms:W3CDTF">2022-07-13T16:19:57Z</dcterms:modified>
</cp:coreProperties>
</file>